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Jennifer\IPAC Canada\Surveillance and Applied Epi Interest Group\Project - LTC Surveillance\2023 LTC Surveillance Toolkit\"/>
    </mc:Choice>
  </mc:AlternateContent>
  <xr:revisionPtr revIDLastSave="0" documentId="8_{CC2EC462-E0A2-493B-86AF-343D6B6F03FE}" xr6:coauthVersionLast="47" xr6:coauthVersionMax="47" xr10:uidLastSave="{00000000-0000-0000-0000-000000000000}"/>
  <bookViews>
    <workbookView xWindow="-108" yWindow="-108" windowWidth="23256" windowHeight="12576" tabRatio="871" xr2:uid="{00000000-000D-0000-FFFF-FFFF00000000}"/>
  </bookViews>
  <sheets>
    <sheet name="Information" sheetId="95" r:id="rId1"/>
    <sheet name="Glossary" sheetId="94" r:id="rId2"/>
    <sheet name="Inf instructions" sheetId="92" r:id="rId3"/>
    <sheet name="Infections" sheetId="99" r:id="rId4"/>
    <sheet name="Total Inf" sheetId="100" r:id="rId5"/>
    <sheet name="ARO instructions" sheetId="93" r:id="rId6"/>
    <sheet name="ARO" sheetId="101" r:id="rId7"/>
    <sheet name="Total AROs" sheetId="102" r:id="rId8"/>
    <sheet name="Staff Surveillance Instructions" sheetId="104" r:id="rId9"/>
    <sheet name="Staff Infections" sheetId="106" r:id="rId10"/>
    <sheet name="Total Staff" sheetId="107" r:id="rId11"/>
    <sheet name="Updates" sheetId="103" r:id="rId12"/>
    <sheet name="AROs Master Sheet" sheetId="91" state="hidden" r:id="rId13"/>
    <sheet name="Sheet39" sheetId="39" state="hidden" r:id="rId14"/>
    <sheet name="Master Data Sheet" sheetId="41"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100" l="1"/>
  <c r="C59" i="100"/>
  <c r="C58" i="100"/>
  <c r="C57" i="100"/>
  <c r="C56" i="100"/>
  <c r="C55" i="100"/>
  <c r="C54" i="100"/>
  <c r="C53" i="100"/>
  <c r="C52" i="100"/>
  <c r="C51" i="100"/>
  <c r="C50" i="100"/>
  <c r="C49" i="100"/>
  <c r="C6" i="107"/>
  <c r="C16" i="107"/>
  <c r="C15" i="107"/>
  <c r="C14" i="107"/>
  <c r="C13" i="107"/>
  <c r="C12" i="107"/>
  <c r="C11" i="107"/>
  <c r="C10" i="107"/>
  <c r="C9" i="107"/>
  <c r="C8" i="107"/>
  <c r="C7" i="107"/>
  <c r="C5" i="107"/>
  <c r="C16" i="100"/>
  <c r="C15" i="100"/>
  <c r="C14" i="100"/>
  <c r="C13" i="100"/>
  <c r="C12" i="100"/>
  <c r="C11" i="100"/>
  <c r="C10" i="100"/>
  <c r="C9" i="100"/>
  <c r="C8" i="100"/>
  <c r="C7" i="100"/>
  <c r="C6" i="100"/>
  <c r="C5" i="100"/>
  <c r="G16" i="107" l="1"/>
  <c r="G15" i="107"/>
  <c r="G14" i="107"/>
  <c r="G13" i="107"/>
  <c r="G12" i="107"/>
  <c r="G11" i="107"/>
  <c r="G10" i="107"/>
  <c r="G9" i="107"/>
  <c r="G8" i="107"/>
  <c r="G7" i="107"/>
  <c r="G6" i="107"/>
  <c r="G5" i="107"/>
  <c r="F16" i="107"/>
  <c r="F15" i="107"/>
  <c r="F14" i="107"/>
  <c r="F13" i="107"/>
  <c r="F12" i="107"/>
  <c r="F11" i="107"/>
  <c r="F10" i="107"/>
  <c r="F9" i="107"/>
  <c r="F8" i="107"/>
  <c r="F7" i="107"/>
  <c r="F6" i="107"/>
  <c r="F5" i="107"/>
  <c r="E16" i="107"/>
  <c r="E15" i="107"/>
  <c r="E14" i="107"/>
  <c r="E13" i="107"/>
  <c r="E12" i="107"/>
  <c r="E11" i="107"/>
  <c r="E10" i="107"/>
  <c r="E9" i="107"/>
  <c r="E8" i="107"/>
  <c r="E7" i="107"/>
  <c r="E6" i="107"/>
  <c r="E5" i="107"/>
  <c r="D16" i="107"/>
  <c r="D15" i="107"/>
  <c r="D14" i="107"/>
  <c r="D13" i="107"/>
  <c r="D12" i="107"/>
  <c r="D11" i="107"/>
  <c r="D10" i="107"/>
  <c r="D9" i="107"/>
  <c r="D8" i="107"/>
  <c r="D7" i="107"/>
  <c r="D6" i="107"/>
  <c r="D5" i="107"/>
  <c r="H16" i="107" l="1"/>
  <c r="H15" i="107"/>
  <c r="H14" i="107"/>
  <c r="H13" i="107"/>
  <c r="H12" i="107"/>
  <c r="H11" i="107"/>
  <c r="H10" i="107"/>
  <c r="H9" i="107"/>
  <c r="H8" i="107"/>
  <c r="H7" i="107"/>
  <c r="E17" i="107"/>
  <c r="D17" i="107"/>
  <c r="I239" i="106"/>
  <c r="I238" i="106"/>
  <c r="I237" i="106"/>
  <c r="I236" i="106"/>
  <c r="I235" i="106"/>
  <c r="I234" i="106"/>
  <c r="I233" i="106"/>
  <c r="I232" i="106"/>
  <c r="I231" i="106"/>
  <c r="I230" i="106"/>
  <c r="I229" i="106"/>
  <c r="I228" i="106"/>
  <c r="I227" i="106"/>
  <c r="I226" i="106"/>
  <c r="I225" i="106"/>
  <c r="I224" i="106"/>
  <c r="I223" i="106"/>
  <c r="I222" i="106"/>
  <c r="I221" i="106"/>
  <c r="I220" i="106"/>
  <c r="I219" i="106"/>
  <c r="I218" i="106"/>
  <c r="I217" i="106"/>
  <c r="I216" i="106"/>
  <c r="I215" i="106"/>
  <c r="I214" i="106"/>
  <c r="I213" i="106"/>
  <c r="I212" i="106"/>
  <c r="I211" i="106"/>
  <c r="I210" i="106"/>
  <c r="I209" i="106"/>
  <c r="I208" i="106"/>
  <c r="I207" i="106"/>
  <c r="I206" i="106"/>
  <c r="I205" i="106"/>
  <c r="I204" i="106"/>
  <c r="I203" i="106"/>
  <c r="I202" i="106"/>
  <c r="I201" i="106"/>
  <c r="I200" i="106"/>
  <c r="I199" i="106"/>
  <c r="I198" i="106"/>
  <c r="I197" i="106"/>
  <c r="I196" i="106"/>
  <c r="I195" i="106"/>
  <c r="I194" i="106"/>
  <c r="I193" i="106"/>
  <c r="I192" i="106"/>
  <c r="I191" i="106"/>
  <c r="I190" i="106"/>
  <c r="I189" i="106"/>
  <c r="I188" i="106"/>
  <c r="I187" i="106"/>
  <c r="I186" i="106"/>
  <c r="I185" i="106"/>
  <c r="I184" i="106"/>
  <c r="I183" i="106"/>
  <c r="I182" i="106"/>
  <c r="I181" i="106"/>
  <c r="I180" i="106"/>
  <c r="I179" i="106"/>
  <c r="I178" i="106"/>
  <c r="I177" i="106"/>
  <c r="I176" i="106"/>
  <c r="I175" i="106"/>
  <c r="I174" i="106"/>
  <c r="I173" i="106"/>
  <c r="I172" i="106"/>
  <c r="I171" i="106"/>
  <c r="I170" i="106"/>
  <c r="I169" i="106"/>
  <c r="I168" i="106"/>
  <c r="I167" i="106"/>
  <c r="I166" i="106"/>
  <c r="I165" i="106"/>
  <c r="I164" i="106"/>
  <c r="I163" i="106"/>
  <c r="I162" i="106"/>
  <c r="I161" i="106"/>
  <c r="I160" i="106"/>
  <c r="I159" i="106"/>
  <c r="I158" i="106"/>
  <c r="I157" i="106"/>
  <c r="I156" i="106"/>
  <c r="I155" i="106"/>
  <c r="I154" i="106"/>
  <c r="I153" i="106"/>
  <c r="I152" i="106"/>
  <c r="I151" i="106"/>
  <c r="I150" i="106"/>
  <c r="I149" i="106"/>
  <c r="I148" i="106"/>
  <c r="I147" i="106"/>
  <c r="I146" i="106"/>
  <c r="I145" i="106"/>
  <c r="I144" i="106"/>
  <c r="I143" i="106"/>
  <c r="I142" i="106"/>
  <c r="I141" i="106"/>
  <c r="I140" i="106"/>
  <c r="I139" i="106"/>
  <c r="I138" i="106"/>
  <c r="I137" i="106"/>
  <c r="I136" i="106"/>
  <c r="I135" i="106"/>
  <c r="I134" i="106"/>
  <c r="I133" i="106"/>
  <c r="I132" i="106"/>
  <c r="I131" i="106"/>
  <c r="I130" i="106"/>
  <c r="I129" i="106"/>
  <c r="I128" i="106"/>
  <c r="I127" i="106"/>
  <c r="I126" i="106"/>
  <c r="I125" i="106"/>
  <c r="I124" i="106"/>
  <c r="I123" i="106"/>
  <c r="I122" i="106"/>
  <c r="I121" i="106"/>
  <c r="I120" i="106"/>
  <c r="I119" i="106"/>
  <c r="I118" i="106"/>
  <c r="I117" i="106"/>
  <c r="I116" i="106"/>
  <c r="I115" i="106"/>
  <c r="I114" i="106"/>
  <c r="I113" i="106"/>
  <c r="I112" i="106"/>
  <c r="I111" i="106"/>
  <c r="I110" i="106"/>
  <c r="I109" i="106"/>
  <c r="I108" i="106"/>
  <c r="I107" i="106"/>
  <c r="I106" i="106"/>
  <c r="I105" i="106"/>
  <c r="I104" i="106"/>
  <c r="I103" i="106"/>
  <c r="I102" i="106"/>
  <c r="I101" i="106"/>
  <c r="I100" i="106"/>
  <c r="I99" i="106"/>
  <c r="I98" i="106"/>
  <c r="I97" i="106"/>
  <c r="I96" i="106"/>
  <c r="I95" i="106"/>
  <c r="I94" i="106"/>
  <c r="I93" i="106"/>
  <c r="I92" i="106"/>
  <c r="I91" i="106"/>
  <c r="I90" i="106"/>
  <c r="I89" i="106"/>
  <c r="I88" i="106"/>
  <c r="I86" i="106"/>
  <c r="I85" i="106"/>
  <c r="I84" i="106"/>
  <c r="I83" i="106"/>
  <c r="I82" i="106"/>
  <c r="I81" i="106"/>
  <c r="I80" i="106"/>
  <c r="I79" i="106"/>
  <c r="I78" i="106"/>
  <c r="I77" i="106"/>
  <c r="I76" i="106"/>
  <c r="I75" i="106"/>
  <c r="I74" i="106"/>
  <c r="I73" i="106"/>
  <c r="I72" i="106"/>
  <c r="I71" i="106"/>
  <c r="I70" i="106"/>
  <c r="I69" i="106"/>
  <c r="I68" i="106"/>
  <c r="I67" i="106"/>
  <c r="I66" i="106"/>
  <c r="I65" i="106"/>
  <c r="I64" i="106"/>
  <c r="I63" i="106"/>
  <c r="I62" i="106"/>
  <c r="I61" i="106"/>
  <c r="I60" i="106"/>
  <c r="I59" i="106"/>
  <c r="I58" i="106"/>
  <c r="I57" i="106"/>
  <c r="I56" i="106"/>
  <c r="I55" i="106"/>
  <c r="I54" i="106"/>
  <c r="I53" i="106"/>
  <c r="I52" i="106"/>
  <c r="I51" i="106"/>
  <c r="I50" i="106"/>
  <c r="I49" i="106"/>
  <c r="I48" i="106"/>
  <c r="I47" i="106"/>
  <c r="I46" i="106"/>
  <c r="I45" i="106"/>
  <c r="I44" i="106"/>
  <c r="I43" i="106"/>
  <c r="I42" i="106"/>
  <c r="I41" i="106"/>
  <c r="I40" i="106"/>
  <c r="I39" i="106"/>
  <c r="I38" i="106"/>
  <c r="I37" i="106"/>
  <c r="I36" i="106"/>
  <c r="I35" i="106"/>
  <c r="I34" i="106"/>
  <c r="I33" i="106"/>
  <c r="I32" i="106"/>
  <c r="I31" i="106"/>
  <c r="I30" i="106"/>
  <c r="I29" i="106"/>
  <c r="I28" i="106"/>
  <c r="I27" i="106"/>
  <c r="I26" i="106"/>
  <c r="I25" i="106"/>
  <c r="I24" i="106"/>
  <c r="I23" i="106"/>
  <c r="I22" i="106"/>
  <c r="I21" i="106"/>
  <c r="I20" i="106"/>
  <c r="I19" i="106"/>
  <c r="I18" i="106"/>
  <c r="I17" i="106"/>
  <c r="I16" i="106"/>
  <c r="I15" i="106"/>
  <c r="I14" i="106"/>
  <c r="I13" i="106"/>
  <c r="I12" i="106"/>
  <c r="I11" i="106"/>
  <c r="I10" i="106"/>
  <c r="I9" i="106"/>
  <c r="I8" i="106"/>
  <c r="I7" i="106"/>
  <c r="I6" i="106"/>
  <c r="F17" i="107" l="1"/>
  <c r="G17" i="107"/>
  <c r="H5" i="107"/>
  <c r="H6" i="107"/>
  <c r="C17" i="107"/>
  <c r="H17" i="107" l="1"/>
  <c r="J5" i="100" l="1"/>
  <c r="M7" i="102"/>
  <c r="E52" i="100"/>
  <c r="I54" i="102" l="1"/>
  <c r="H54" i="102"/>
  <c r="G54" i="102"/>
  <c r="F54" i="102"/>
  <c r="E54" i="102"/>
  <c r="D54" i="102"/>
  <c r="C54" i="102"/>
  <c r="I52" i="102"/>
  <c r="H52" i="102"/>
  <c r="G52" i="102"/>
  <c r="F52" i="102"/>
  <c r="E52" i="102"/>
  <c r="D52" i="102"/>
  <c r="C52" i="102"/>
  <c r="I49" i="102"/>
  <c r="H49" i="102"/>
  <c r="G49" i="102"/>
  <c r="F49" i="102"/>
  <c r="E49" i="102"/>
  <c r="D49" i="102"/>
  <c r="C49" i="102"/>
  <c r="I13" i="102"/>
  <c r="H13" i="102"/>
  <c r="S13" i="102" s="1"/>
  <c r="G13" i="102"/>
  <c r="F13" i="102"/>
  <c r="E13" i="102"/>
  <c r="D13" i="102"/>
  <c r="C13" i="102"/>
  <c r="I10" i="102"/>
  <c r="T10" i="102" s="1"/>
  <c r="H10" i="102"/>
  <c r="S10" i="102" s="1"/>
  <c r="G10" i="102"/>
  <c r="F10" i="102"/>
  <c r="E10" i="102"/>
  <c r="D10" i="102"/>
  <c r="C10" i="102"/>
  <c r="I15" i="102"/>
  <c r="T15" i="102" s="1"/>
  <c r="G15" i="102"/>
  <c r="F15" i="102"/>
  <c r="E15" i="102"/>
  <c r="D15" i="102"/>
  <c r="H15" i="102"/>
  <c r="C15" i="102"/>
  <c r="I18" i="102"/>
  <c r="H18" i="102"/>
  <c r="S18" i="102" s="1"/>
  <c r="I17" i="102"/>
  <c r="T17" i="102" s="1"/>
  <c r="H17" i="102"/>
  <c r="S17" i="102" s="1"/>
  <c r="I16" i="102"/>
  <c r="T16" i="102" s="1"/>
  <c r="H16" i="102"/>
  <c r="S16" i="102" s="1"/>
  <c r="I14" i="102"/>
  <c r="T14" i="102" s="1"/>
  <c r="H14" i="102"/>
  <c r="S14" i="102" s="1"/>
  <c r="I12" i="102"/>
  <c r="T12" i="102" s="1"/>
  <c r="H12" i="102"/>
  <c r="S12" i="102" s="1"/>
  <c r="I11" i="102"/>
  <c r="T11" i="102" s="1"/>
  <c r="H11" i="102"/>
  <c r="S11" i="102" s="1"/>
  <c r="I9" i="102"/>
  <c r="T9" i="102" s="1"/>
  <c r="H9" i="102"/>
  <c r="I8" i="102"/>
  <c r="T8" i="102" s="1"/>
  <c r="H8" i="102"/>
  <c r="S8" i="102" s="1"/>
  <c r="I7" i="102"/>
  <c r="H7" i="102"/>
  <c r="I57" i="102"/>
  <c r="H57" i="102"/>
  <c r="I56" i="102"/>
  <c r="H56" i="102"/>
  <c r="I55" i="102"/>
  <c r="H55" i="102"/>
  <c r="I53" i="102"/>
  <c r="H53" i="102"/>
  <c r="I51" i="102"/>
  <c r="H51" i="102"/>
  <c r="I50" i="102"/>
  <c r="H50" i="102"/>
  <c r="I48" i="102"/>
  <c r="H48" i="102"/>
  <c r="I47" i="102"/>
  <c r="H47" i="102"/>
  <c r="I46" i="102"/>
  <c r="H46" i="102"/>
  <c r="I19" i="102" l="1"/>
  <c r="I58" i="102"/>
  <c r="H19" i="102"/>
  <c r="S7" i="102"/>
  <c r="T7" i="102"/>
  <c r="S9" i="102"/>
  <c r="T13" i="102"/>
  <c r="H58" i="102"/>
  <c r="T18" i="102"/>
  <c r="I16" i="99"/>
  <c r="D50" i="100"/>
  <c r="D6" i="100"/>
  <c r="D7" i="100"/>
  <c r="R7" i="100" s="1"/>
  <c r="D5" i="100"/>
  <c r="R5" i="100" s="1"/>
  <c r="C7" i="102"/>
  <c r="N7" i="102" s="1"/>
  <c r="D7" i="102"/>
  <c r="O7" i="102" s="1"/>
  <c r="E7" i="102"/>
  <c r="P7" i="102" s="1"/>
  <c r="F7" i="102"/>
  <c r="Q7" i="102" s="1"/>
  <c r="G7" i="102"/>
  <c r="R7" i="102" s="1"/>
  <c r="C8" i="102"/>
  <c r="D8" i="102"/>
  <c r="O8" i="102" s="1"/>
  <c r="E8" i="102"/>
  <c r="P8" i="102" s="1"/>
  <c r="F8" i="102"/>
  <c r="Q8" i="102" s="1"/>
  <c r="G8" i="102"/>
  <c r="R8" i="102" s="1"/>
  <c r="M8" i="102"/>
  <c r="C9" i="102"/>
  <c r="N9" i="102" s="1"/>
  <c r="D9" i="102"/>
  <c r="O9" i="102" s="1"/>
  <c r="E9" i="102"/>
  <c r="P9" i="102" s="1"/>
  <c r="F9" i="102"/>
  <c r="Q9" i="102" s="1"/>
  <c r="G9" i="102"/>
  <c r="R9" i="102" s="1"/>
  <c r="M9" i="102"/>
  <c r="N10" i="102"/>
  <c r="O10" i="102"/>
  <c r="P10" i="102"/>
  <c r="R10" i="102"/>
  <c r="M10" i="102"/>
  <c r="C11" i="102"/>
  <c r="N11" i="102" s="1"/>
  <c r="D11" i="102"/>
  <c r="O11" i="102" s="1"/>
  <c r="E11" i="102"/>
  <c r="P11" i="102" s="1"/>
  <c r="F11" i="102"/>
  <c r="Q11" i="102" s="1"/>
  <c r="G11" i="102"/>
  <c r="R11" i="102" s="1"/>
  <c r="M11" i="102"/>
  <c r="C12" i="102"/>
  <c r="N12" i="102" s="1"/>
  <c r="D12" i="102"/>
  <c r="O12" i="102" s="1"/>
  <c r="E12" i="102"/>
  <c r="P12" i="102" s="1"/>
  <c r="F12" i="102"/>
  <c r="Q12" i="102" s="1"/>
  <c r="G12" i="102"/>
  <c r="R12" i="102" s="1"/>
  <c r="M12" i="102"/>
  <c r="N13" i="102"/>
  <c r="O13" i="102"/>
  <c r="P13" i="102"/>
  <c r="Q13" i="102"/>
  <c r="R13" i="102"/>
  <c r="M13" i="102"/>
  <c r="C14" i="102"/>
  <c r="N14" i="102" s="1"/>
  <c r="D14" i="102"/>
  <c r="O14" i="102" s="1"/>
  <c r="E14" i="102"/>
  <c r="P14" i="102" s="1"/>
  <c r="F14" i="102"/>
  <c r="Q14" i="102" s="1"/>
  <c r="G14" i="102"/>
  <c r="R14" i="102" s="1"/>
  <c r="M14" i="102"/>
  <c r="N15" i="102"/>
  <c r="O15" i="102"/>
  <c r="P15" i="102"/>
  <c r="Q15" i="102"/>
  <c r="M15" i="102"/>
  <c r="R15" i="102" s="1"/>
  <c r="C16" i="102"/>
  <c r="N16" i="102" s="1"/>
  <c r="D16" i="102"/>
  <c r="O16" i="102" s="1"/>
  <c r="E16" i="102"/>
  <c r="P16" i="102" s="1"/>
  <c r="F16" i="102"/>
  <c r="Q16" i="102" s="1"/>
  <c r="G16" i="102"/>
  <c r="R16" i="102" s="1"/>
  <c r="M16" i="102"/>
  <c r="C17" i="102"/>
  <c r="N17" i="102" s="1"/>
  <c r="D17" i="102"/>
  <c r="O17" i="102" s="1"/>
  <c r="E17" i="102"/>
  <c r="P17" i="102" s="1"/>
  <c r="F17" i="102"/>
  <c r="Q17" i="102" s="1"/>
  <c r="G17" i="102"/>
  <c r="R17" i="102" s="1"/>
  <c r="M17" i="102"/>
  <c r="C18" i="102"/>
  <c r="N18" i="102" s="1"/>
  <c r="D18" i="102"/>
  <c r="O18" i="102" s="1"/>
  <c r="E18" i="102"/>
  <c r="P18" i="102" s="1"/>
  <c r="F18" i="102"/>
  <c r="Q18" i="102" s="1"/>
  <c r="G18" i="102"/>
  <c r="R18" i="102" s="1"/>
  <c r="M18" i="102"/>
  <c r="C46" i="102"/>
  <c r="D46" i="102"/>
  <c r="E46" i="102"/>
  <c r="F46" i="102"/>
  <c r="G46" i="102"/>
  <c r="C47" i="102"/>
  <c r="D47" i="102"/>
  <c r="E47" i="102"/>
  <c r="F47" i="102"/>
  <c r="G47" i="102"/>
  <c r="C48" i="102"/>
  <c r="D48" i="102"/>
  <c r="E48" i="102"/>
  <c r="F48" i="102"/>
  <c r="G48" i="102"/>
  <c r="C50" i="102"/>
  <c r="D50" i="102"/>
  <c r="E50" i="102"/>
  <c r="F50" i="102"/>
  <c r="G50" i="102"/>
  <c r="C51" i="102"/>
  <c r="D51" i="102"/>
  <c r="E51" i="102"/>
  <c r="F51" i="102"/>
  <c r="G51" i="102"/>
  <c r="C53" i="102"/>
  <c r="D53" i="102"/>
  <c r="E53" i="102"/>
  <c r="F53" i="102"/>
  <c r="G53" i="102"/>
  <c r="C55" i="102"/>
  <c r="D55" i="102"/>
  <c r="E55" i="102"/>
  <c r="F55" i="102"/>
  <c r="G55" i="102"/>
  <c r="C56" i="102"/>
  <c r="D56" i="102"/>
  <c r="E56" i="102"/>
  <c r="F56" i="102"/>
  <c r="G56" i="102"/>
  <c r="C57" i="102"/>
  <c r="D57" i="102"/>
  <c r="E57" i="102"/>
  <c r="F57" i="102"/>
  <c r="G57" i="102"/>
  <c r="Q5" i="100"/>
  <c r="E5" i="100"/>
  <c r="S5" i="100" s="1"/>
  <c r="F5" i="100"/>
  <c r="T5" i="100" s="1"/>
  <c r="G5" i="100"/>
  <c r="U5" i="100" s="1"/>
  <c r="H5" i="100"/>
  <c r="V5" i="100" s="1"/>
  <c r="I5" i="100"/>
  <c r="W5" i="100" s="1"/>
  <c r="X5" i="100"/>
  <c r="Q6" i="100"/>
  <c r="E6" i="100"/>
  <c r="S6" i="100" s="1"/>
  <c r="F6" i="100"/>
  <c r="T6" i="100" s="1"/>
  <c r="G6" i="100"/>
  <c r="U6" i="100" s="1"/>
  <c r="H6" i="100"/>
  <c r="I6" i="100"/>
  <c r="W6" i="100" s="1"/>
  <c r="J6" i="100"/>
  <c r="X6" i="100" s="1"/>
  <c r="Q7" i="100"/>
  <c r="E7" i="100"/>
  <c r="S7" i="100" s="1"/>
  <c r="F7" i="100"/>
  <c r="T7" i="100" s="1"/>
  <c r="G7" i="100"/>
  <c r="U7" i="100" s="1"/>
  <c r="H7" i="100"/>
  <c r="V7" i="100" s="1"/>
  <c r="I7" i="100"/>
  <c r="W7" i="100" s="1"/>
  <c r="J7" i="100"/>
  <c r="X7" i="100" s="1"/>
  <c r="Q8" i="100"/>
  <c r="D8" i="100"/>
  <c r="R8" i="100" s="1"/>
  <c r="E8" i="100"/>
  <c r="S8" i="100" s="1"/>
  <c r="F8" i="100"/>
  <c r="T8" i="100" s="1"/>
  <c r="G8" i="100"/>
  <c r="U8" i="100" s="1"/>
  <c r="H8" i="100"/>
  <c r="V8" i="100" s="1"/>
  <c r="I8" i="100"/>
  <c r="W8" i="100" s="1"/>
  <c r="J8" i="100"/>
  <c r="X8" i="100" s="1"/>
  <c r="Q9" i="100"/>
  <c r="D9" i="100"/>
  <c r="R9" i="100" s="1"/>
  <c r="E9" i="100"/>
  <c r="S9" i="100" s="1"/>
  <c r="F9" i="100"/>
  <c r="T9" i="100" s="1"/>
  <c r="G9" i="100"/>
  <c r="U9" i="100" s="1"/>
  <c r="H9" i="100"/>
  <c r="V9" i="100" s="1"/>
  <c r="I9" i="100"/>
  <c r="W9" i="100" s="1"/>
  <c r="J9" i="100"/>
  <c r="X9" i="100" s="1"/>
  <c r="Q10" i="100"/>
  <c r="D10" i="100"/>
  <c r="E10" i="100"/>
  <c r="S10" i="100" s="1"/>
  <c r="F10" i="100"/>
  <c r="T10" i="100" s="1"/>
  <c r="G10" i="100"/>
  <c r="U10" i="100" s="1"/>
  <c r="H10" i="100"/>
  <c r="V10" i="100" s="1"/>
  <c r="I10" i="100"/>
  <c r="W10" i="100" s="1"/>
  <c r="J10" i="100"/>
  <c r="X10" i="100" s="1"/>
  <c r="Q11" i="100"/>
  <c r="D11" i="100"/>
  <c r="R11" i="100" s="1"/>
  <c r="E11" i="100"/>
  <c r="S11" i="100" s="1"/>
  <c r="F11" i="100"/>
  <c r="T11" i="100" s="1"/>
  <c r="G11" i="100"/>
  <c r="U11" i="100" s="1"/>
  <c r="H11" i="100"/>
  <c r="V11" i="100" s="1"/>
  <c r="I11" i="100"/>
  <c r="W11" i="100" s="1"/>
  <c r="J11" i="100"/>
  <c r="X11" i="100" s="1"/>
  <c r="Q12" i="100"/>
  <c r="D12" i="100"/>
  <c r="R12" i="100" s="1"/>
  <c r="E12" i="100"/>
  <c r="S12" i="100" s="1"/>
  <c r="F12" i="100"/>
  <c r="T12" i="100" s="1"/>
  <c r="G12" i="100"/>
  <c r="U12" i="100" s="1"/>
  <c r="H12" i="100"/>
  <c r="V12" i="100" s="1"/>
  <c r="I12" i="100"/>
  <c r="W12" i="100" s="1"/>
  <c r="J12" i="100"/>
  <c r="X12" i="100" s="1"/>
  <c r="Q13" i="100"/>
  <c r="D13" i="100"/>
  <c r="R13" i="100" s="1"/>
  <c r="E13" i="100"/>
  <c r="S13" i="100" s="1"/>
  <c r="F13" i="100"/>
  <c r="T13" i="100" s="1"/>
  <c r="G13" i="100"/>
  <c r="U13" i="100" s="1"/>
  <c r="H13" i="100"/>
  <c r="V13" i="100" s="1"/>
  <c r="I13" i="100"/>
  <c r="W13" i="100" s="1"/>
  <c r="J13" i="100"/>
  <c r="X13" i="100" s="1"/>
  <c r="Q14" i="100"/>
  <c r="D14" i="100"/>
  <c r="E14" i="100"/>
  <c r="S14" i="100" s="1"/>
  <c r="F14" i="100"/>
  <c r="T14" i="100" s="1"/>
  <c r="G14" i="100"/>
  <c r="U14" i="100" s="1"/>
  <c r="H14" i="100"/>
  <c r="V14" i="100" s="1"/>
  <c r="I14" i="100"/>
  <c r="W14" i="100" s="1"/>
  <c r="J14" i="100"/>
  <c r="X14" i="100" s="1"/>
  <c r="Q15" i="100"/>
  <c r="D15" i="100"/>
  <c r="R15" i="100" s="1"/>
  <c r="E15" i="100"/>
  <c r="S15" i="100" s="1"/>
  <c r="F15" i="100"/>
  <c r="T15" i="100" s="1"/>
  <c r="G15" i="100"/>
  <c r="U15" i="100" s="1"/>
  <c r="H15" i="100"/>
  <c r="V15" i="100" s="1"/>
  <c r="I15" i="100"/>
  <c r="W15" i="100" s="1"/>
  <c r="J15" i="100"/>
  <c r="X15" i="100" s="1"/>
  <c r="Q16" i="100"/>
  <c r="D16" i="100"/>
  <c r="R16" i="100" s="1"/>
  <c r="E16" i="100"/>
  <c r="S16" i="100" s="1"/>
  <c r="F16" i="100"/>
  <c r="T16" i="100" s="1"/>
  <c r="G16" i="100"/>
  <c r="U16" i="100" s="1"/>
  <c r="H16" i="100"/>
  <c r="V16" i="100" s="1"/>
  <c r="I16" i="100"/>
  <c r="W16" i="100" s="1"/>
  <c r="J16" i="100"/>
  <c r="X16" i="100" s="1"/>
  <c r="D49" i="100"/>
  <c r="E49" i="100"/>
  <c r="F49" i="100"/>
  <c r="G49" i="100"/>
  <c r="H49" i="100"/>
  <c r="I49" i="100"/>
  <c r="J49" i="100"/>
  <c r="E50" i="100"/>
  <c r="F50" i="100"/>
  <c r="G50" i="100"/>
  <c r="H50" i="100"/>
  <c r="I50" i="100"/>
  <c r="J50" i="100"/>
  <c r="D51" i="100"/>
  <c r="E51" i="100"/>
  <c r="F51" i="100"/>
  <c r="G51" i="100"/>
  <c r="H51" i="100"/>
  <c r="I51" i="100"/>
  <c r="J51" i="100"/>
  <c r="D52" i="100"/>
  <c r="F52" i="100"/>
  <c r="G52" i="100"/>
  <c r="H52" i="100"/>
  <c r="I52" i="100"/>
  <c r="J52" i="100"/>
  <c r="D53" i="100"/>
  <c r="E53" i="100"/>
  <c r="F53" i="100"/>
  <c r="G53" i="100"/>
  <c r="H53" i="100"/>
  <c r="I53" i="100"/>
  <c r="J53" i="100"/>
  <c r="D54" i="100"/>
  <c r="E54" i="100"/>
  <c r="F54" i="100"/>
  <c r="G54" i="100"/>
  <c r="H54" i="100"/>
  <c r="I54" i="100"/>
  <c r="J54" i="100"/>
  <c r="D55" i="100"/>
  <c r="E55" i="100"/>
  <c r="F55" i="100"/>
  <c r="G55" i="100"/>
  <c r="H55" i="100"/>
  <c r="I55" i="100"/>
  <c r="J55" i="100"/>
  <c r="D56" i="100"/>
  <c r="E56" i="100"/>
  <c r="F56" i="100"/>
  <c r="G56" i="100"/>
  <c r="H56" i="100"/>
  <c r="I56" i="100"/>
  <c r="J56" i="100"/>
  <c r="D57" i="100"/>
  <c r="E57" i="100"/>
  <c r="F57" i="100"/>
  <c r="G57" i="100"/>
  <c r="H57" i="100"/>
  <c r="I57" i="100"/>
  <c r="J57" i="100"/>
  <c r="D58" i="100"/>
  <c r="E58" i="100"/>
  <c r="F58" i="100"/>
  <c r="G58" i="100"/>
  <c r="H58" i="100"/>
  <c r="I58" i="100"/>
  <c r="J58" i="100"/>
  <c r="D59" i="100"/>
  <c r="E59" i="100"/>
  <c r="F59" i="100"/>
  <c r="G59" i="100"/>
  <c r="H59" i="100"/>
  <c r="I59" i="100"/>
  <c r="J59" i="100"/>
  <c r="D60" i="100"/>
  <c r="E60" i="100"/>
  <c r="F60" i="100"/>
  <c r="G60" i="100"/>
  <c r="H60" i="100"/>
  <c r="I60" i="100"/>
  <c r="J60" i="100"/>
  <c r="I6" i="99"/>
  <c r="I7" i="99"/>
  <c r="I8" i="99"/>
  <c r="I9" i="99"/>
  <c r="I10" i="99"/>
  <c r="I11" i="99"/>
  <c r="I12" i="99"/>
  <c r="I13" i="99"/>
  <c r="I14" i="99"/>
  <c r="I15" i="99"/>
  <c r="I17" i="99"/>
  <c r="I18" i="99"/>
  <c r="I19" i="99"/>
  <c r="I20" i="99"/>
  <c r="I21" i="99"/>
  <c r="I22" i="99"/>
  <c r="I23" i="99"/>
  <c r="I24" i="99"/>
  <c r="I25" i="99"/>
  <c r="I26" i="99"/>
  <c r="I27" i="99"/>
  <c r="I28" i="99"/>
  <c r="I29" i="99"/>
  <c r="I30" i="99"/>
  <c r="I31" i="99"/>
  <c r="I32" i="99"/>
  <c r="I33" i="99"/>
  <c r="I34" i="99"/>
  <c r="I35" i="99"/>
  <c r="I36" i="99"/>
  <c r="I37" i="99"/>
  <c r="I38" i="99"/>
  <c r="I39" i="99"/>
  <c r="I40" i="99"/>
  <c r="I41" i="99"/>
  <c r="I42" i="99"/>
  <c r="I43" i="99"/>
  <c r="I44" i="99"/>
  <c r="I45" i="99"/>
  <c r="I46" i="99"/>
  <c r="I47" i="99"/>
  <c r="I48" i="99"/>
  <c r="I49" i="99"/>
  <c r="I50" i="99"/>
  <c r="I51" i="99"/>
  <c r="I52" i="99"/>
  <c r="I53" i="99"/>
  <c r="I54" i="99"/>
  <c r="I55" i="99"/>
  <c r="I56" i="99"/>
  <c r="I57" i="99"/>
  <c r="I58" i="99"/>
  <c r="I59" i="99"/>
  <c r="I60" i="99"/>
  <c r="I61" i="99"/>
  <c r="I62" i="99"/>
  <c r="I63" i="99"/>
  <c r="I64" i="99"/>
  <c r="I65" i="99"/>
  <c r="I66" i="99"/>
  <c r="I67" i="99"/>
  <c r="I68" i="99"/>
  <c r="I69" i="99"/>
  <c r="I70" i="99"/>
  <c r="I71" i="99"/>
  <c r="I72" i="99"/>
  <c r="I73" i="99"/>
  <c r="I74" i="99"/>
  <c r="I75" i="99"/>
  <c r="I76" i="99"/>
  <c r="I77" i="99"/>
  <c r="I78" i="99"/>
  <c r="I79" i="99"/>
  <c r="I80" i="99"/>
  <c r="I81" i="99"/>
  <c r="I82" i="99"/>
  <c r="I83" i="99"/>
  <c r="I84" i="99"/>
  <c r="I85" i="99"/>
  <c r="I86" i="99"/>
  <c r="I88" i="99"/>
  <c r="I89" i="99"/>
  <c r="I90" i="99"/>
  <c r="I91" i="99"/>
  <c r="I92" i="99"/>
  <c r="I93" i="99"/>
  <c r="I94" i="99"/>
  <c r="I95" i="99"/>
  <c r="I96" i="99"/>
  <c r="I97" i="99"/>
  <c r="I98" i="99"/>
  <c r="I99" i="99"/>
  <c r="I100" i="99"/>
  <c r="I101" i="99"/>
  <c r="I102" i="99"/>
  <c r="I103" i="99"/>
  <c r="I104" i="99"/>
  <c r="I105" i="99"/>
  <c r="I106" i="99"/>
  <c r="I107" i="99"/>
  <c r="I108" i="99"/>
  <c r="I109" i="99"/>
  <c r="I110" i="99"/>
  <c r="I111" i="99"/>
  <c r="I112" i="99"/>
  <c r="I113" i="99"/>
  <c r="I114" i="99"/>
  <c r="I115" i="99"/>
  <c r="I116" i="99"/>
  <c r="I117" i="99"/>
  <c r="I118" i="99"/>
  <c r="I119" i="99"/>
  <c r="I120" i="99"/>
  <c r="I121" i="99"/>
  <c r="I122" i="99"/>
  <c r="I123" i="99"/>
  <c r="I124" i="99"/>
  <c r="I125" i="99"/>
  <c r="I126" i="99"/>
  <c r="I127" i="99"/>
  <c r="I128" i="99"/>
  <c r="I129" i="99"/>
  <c r="I130" i="99"/>
  <c r="I131" i="99"/>
  <c r="I132" i="99"/>
  <c r="I133" i="99"/>
  <c r="I134" i="99"/>
  <c r="I135" i="99"/>
  <c r="I136" i="99"/>
  <c r="I137" i="99"/>
  <c r="I138" i="99"/>
  <c r="I139" i="99"/>
  <c r="I140" i="99"/>
  <c r="I141" i="99"/>
  <c r="I142" i="99"/>
  <c r="I143" i="99"/>
  <c r="I144" i="99"/>
  <c r="I145" i="99"/>
  <c r="I146" i="99"/>
  <c r="I147" i="99"/>
  <c r="I148" i="99"/>
  <c r="I149" i="99"/>
  <c r="I150" i="99"/>
  <c r="I151" i="99"/>
  <c r="I152" i="99"/>
  <c r="I153" i="99"/>
  <c r="I154" i="99"/>
  <c r="I155" i="99"/>
  <c r="I156" i="99"/>
  <c r="I157" i="99"/>
  <c r="I158" i="99"/>
  <c r="I159" i="99"/>
  <c r="I160" i="99"/>
  <c r="I161" i="99"/>
  <c r="I162" i="99"/>
  <c r="I163" i="99"/>
  <c r="I164" i="99"/>
  <c r="I165" i="99"/>
  <c r="I166" i="99"/>
  <c r="I167" i="99"/>
  <c r="I168" i="99"/>
  <c r="I169" i="99"/>
  <c r="I170" i="99"/>
  <c r="I171" i="99"/>
  <c r="I172" i="99"/>
  <c r="I173" i="99"/>
  <c r="I174" i="99"/>
  <c r="I175" i="99"/>
  <c r="I176" i="99"/>
  <c r="I177" i="99"/>
  <c r="I178" i="99"/>
  <c r="I179" i="99"/>
  <c r="I180" i="99"/>
  <c r="I181" i="99"/>
  <c r="I182" i="99"/>
  <c r="I183" i="99"/>
  <c r="I184" i="99"/>
  <c r="I185" i="99"/>
  <c r="I186" i="99"/>
  <c r="I187" i="99"/>
  <c r="I188" i="99"/>
  <c r="I189" i="99"/>
  <c r="I190" i="99"/>
  <c r="I191" i="99"/>
  <c r="I192" i="99"/>
  <c r="I193" i="99"/>
  <c r="I194" i="99"/>
  <c r="I195" i="99"/>
  <c r="I196" i="99"/>
  <c r="I197" i="99"/>
  <c r="I198" i="99"/>
  <c r="I199" i="99"/>
  <c r="I200" i="99"/>
  <c r="I201" i="99"/>
  <c r="I202" i="99"/>
  <c r="I203" i="99"/>
  <c r="I204" i="99"/>
  <c r="I205" i="99"/>
  <c r="I206" i="99"/>
  <c r="I207" i="99"/>
  <c r="I208" i="99"/>
  <c r="I209" i="99"/>
  <c r="I210" i="99"/>
  <c r="I211" i="99"/>
  <c r="I212" i="99"/>
  <c r="I213" i="99"/>
  <c r="I214" i="99"/>
  <c r="I215" i="99"/>
  <c r="I216" i="99"/>
  <c r="I217" i="99"/>
  <c r="I218" i="99"/>
  <c r="I219" i="99"/>
  <c r="I220" i="99"/>
  <c r="I221" i="99"/>
  <c r="I222" i="99"/>
  <c r="I223" i="99"/>
  <c r="I224" i="99"/>
  <c r="I225" i="99"/>
  <c r="I226" i="99"/>
  <c r="I227" i="99"/>
  <c r="I228" i="99"/>
  <c r="I229" i="99"/>
  <c r="I230" i="99"/>
  <c r="I231" i="99"/>
  <c r="I232" i="99"/>
  <c r="I233" i="99"/>
  <c r="I234" i="99"/>
  <c r="I235" i="99"/>
  <c r="I236" i="99"/>
  <c r="I237" i="99"/>
  <c r="I238" i="99"/>
  <c r="I239" i="99"/>
  <c r="S15" i="102" l="1"/>
  <c r="S19" i="102" s="1"/>
  <c r="J54" i="102"/>
  <c r="J46" i="102"/>
  <c r="U11" i="102"/>
  <c r="J56" i="102"/>
  <c r="J48" i="102"/>
  <c r="J57" i="102"/>
  <c r="J55" i="102"/>
  <c r="J47" i="102"/>
  <c r="J51" i="102"/>
  <c r="J50" i="102"/>
  <c r="J52" i="102"/>
  <c r="J53" i="102"/>
  <c r="U16" i="102"/>
  <c r="U12" i="102"/>
  <c r="J8" i="102"/>
  <c r="U13" i="102"/>
  <c r="U9" i="102"/>
  <c r="U17" i="102"/>
  <c r="J10" i="102"/>
  <c r="T19" i="102"/>
  <c r="U14" i="102"/>
  <c r="J15" i="102"/>
  <c r="J18" i="102"/>
  <c r="J49" i="102"/>
  <c r="J9" i="102"/>
  <c r="J17" i="102"/>
  <c r="J11" i="102"/>
  <c r="J16" i="102"/>
  <c r="J7" i="102"/>
  <c r="J13" i="102"/>
  <c r="J12" i="102"/>
  <c r="J14" i="102"/>
  <c r="U18" i="102"/>
  <c r="U7" i="102"/>
  <c r="D58" i="102"/>
  <c r="G58" i="102"/>
  <c r="E58" i="102"/>
  <c r="G19" i="102"/>
  <c r="C58" i="102"/>
  <c r="F58" i="102"/>
  <c r="E19" i="102"/>
  <c r="F19" i="102"/>
  <c r="C19" i="102"/>
  <c r="P19" i="102"/>
  <c r="R19" i="102"/>
  <c r="D19" i="102"/>
  <c r="Q10" i="102"/>
  <c r="N8" i="102"/>
  <c r="U8" i="102" s="1"/>
  <c r="O19" i="102"/>
  <c r="I61" i="100"/>
  <c r="E61" i="100"/>
  <c r="K60" i="100"/>
  <c r="K6" i="100"/>
  <c r="K10" i="100"/>
  <c r="K50" i="100"/>
  <c r="K14" i="100"/>
  <c r="K54" i="100"/>
  <c r="R14" i="100"/>
  <c r="H17" i="100"/>
  <c r="K57" i="100"/>
  <c r="K55" i="100"/>
  <c r="K51" i="100"/>
  <c r="G61" i="100"/>
  <c r="C61" i="100"/>
  <c r="V6" i="100"/>
  <c r="V17" i="100" s="1"/>
  <c r="K5" i="100"/>
  <c r="K56" i="100"/>
  <c r="K53" i="100"/>
  <c r="H61" i="100"/>
  <c r="K49" i="100"/>
  <c r="R10" i="100"/>
  <c r="K59" i="100"/>
  <c r="K58" i="100"/>
  <c r="J61" i="100"/>
  <c r="F61" i="100"/>
  <c r="J17" i="100"/>
  <c r="K13" i="100"/>
  <c r="K9" i="100"/>
  <c r="K52" i="100"/>
  <c r="R6" i="100"/>
  <c r="F17" i="100"/>
  <c r="K15" i="100"/>
  <c r="G17" i="100"/>
  <c r="C17" i="100"/>
  <c r="T17" i="100"/>
  <c r="Q17" i="100"/>
  <c r="U17" i="100"/>
  <c r="X17" i="100"/>
  <c r="W17" i="100"/>
  <c r="S17" i="100"/>
  <c r="K8" i="100"/>
  <c r="K16" i="100"/>
  <c r="I17" i="100"/>
  <c r="K11" i="100"/>
  <c r="K7" i="100"/>
  <c r="D17" i="100"/>
  <c r="K12" i="100"/>
  <c r="D61" i="100"/>
  <c r="E17" i="100"/>
  <c r="U15" i="102" l="1"/>
  <c r="J58" i="102"/>
  <c r="Q19" i="102"/>
  <c r="U10" i="102"/>
  <c r="J19" i="102"/>
  <c r="N19" i="102"/>
  <c r="R17" i="100"/>
  <c r="K61" i="100"/>
  <c r="K17" i="100"/>
  <c r="U19" i="102" l="1"/>
</calcChain>
</file>

<file path=xl/sharedStrings.xml><?xml version="1.0" encoding="utf-8"?>
<sst xmlns="http://schemas.openxmlformats.org/spreadsheetml/2006/main" count="624" uniqueCount="330">
  <si>
    <t>Infections</t>
  </si>
  <si>
    <t>Month</t>
  </si>
  <si>
    <t>Resident Name</t>
  </si>
  <si>
    <t>Neighbourhood</t>
  </si>
  <si>
    <t>Pneumonia</t>
  </si>
  <si>
    <t>Wound</t>
  </si>
  <si>
    <t>UTI</t>
  </si>
  <si>
    <t>Eye</t>
  </si>
  <si>
    <t>Comments</t>
  </si>
  <si>
    <t>Room #</t>
  </si>
  <si>
    <t>Respiratory</t>
  </si>
  <si>
    <t>Gastrointestinal</t>
  </si>
  <si>
    <t>Skin Infections</t>
  </si>
  <si>
    <t>Arbour Trails</t>
  </si>
  <si>
    <t>Aspen Lake</t>
  </si>
  <si>
    <t>Coleman Care</t>
  </si>
  <si>
    <t>Erin Meadows</t>
  </si>
  <si>
    <t>Erin Mills Lodge</t>
  </si>
  <si>
    <t>Fairview</t>
  </si>
  <si>
    <t>Humber Heights</t>
  </si>
  <si>
    <t>Hamilton Continuing Care</t>
  </si>
  <si>
    <t>Maynard</t>
  </si>
  <si>
    <t>Pinehaven</t>
  </si>
  <si>
    <t>Riverside Glen</t>
  </si>
  <si>
    <t>Tansley Woods</t>
  </si>
  <si>
    <t>Taunton Mills</t>
  </si>
  <si>
    <t>University Gates</t>
  </si>
  <si>
    <t>Wentworth Heights</t>
  </si>
  <si>
    <t>Winston Park</t>
  </si>
  <si>
    <t>St. Clair</t>
  </si>
  <si>
    <t>Sandalwood Park</t>
  </si>
  <si>
    <t>Glendale Crossing</t>
  </si>
  <si>
    <t>January</t>
  </si>
  <si>
    <t>March</t>
  </si>
  <si>
    <t>April</t>
  </si>
  <si>
    <t>May</t>
  </si>
  <si>
    <t>June</t>
  </si>
  <si>
    <t>July</t>
  </si>
  <si>
    <t>August</t>
  </si>
  <si>
    <t>September</t>
  </si>
  <si>
    <t>October</t>
  </si>
  <si>
    <t>November</t>
  </si>
  <si>
    <t>December</t>
  </si>
  <si>
    <t>February</t>
  </si>
  <si>
    <t>Q6 Month Swabs</t>
  </si>
  <si>
    <t>Weekly Swabs</t>
  </si>
  <si>
    <t>Monthly Swabs</t>
  </si>
  <si>
    <t>No Swabs Needed</t>
  </si>
  <si>
    <t>Resolved</t>
  </si>
  <si>
    <t>Not Resolved</t>
  </si>
  <si>
    <t>Never Be Resolved</t>
  </si>
  <si>
    <t>Nasal</t>
  </si>
  <si>
    <t>Nasopharengeal</t>
  </si>
  <si>
    <t>Rectal</t>
  </si>
  <si>
    <t>Vaginal</t>
  </si>
  <si>
    <t>Amoxicillin</t>
  </si>
  <si>
    <t>Avelox</t>
  </si>
  <si>
    <t>Ciprofloxacin</t>
  </si>
  <si>
    <t>Fucidin Cream</t>
  </si>
  <si>
    <t>Keflex</t>
  </si>
  <si>
    <t>Ketoderm Cream</t>
  </si>
  <si>
    <t>Macrobid</t>
  </si>
  <si>
    <t>Septra</t>
  </si>
  <si>
    <t>Septra DS</t>
  </si>
  <si>
    <t>Zithromax</t>
  </si>
  <si>
    <t>Zithromycin</t>
  </si>
  <si>
    <t xml:space="preserve">Resolved </t>
  </si>
  <si>
    <t>Total</t>
  </si>
  <si>
    <t>Annual Total</t>
  </si>
  <si>
    <t>Total Infections</t>
  </si>
  <si>
    <t>UTIs</t>
  </si>
  <si>
    <t>Date</t>
  </si>
  <si>
    <t>Gastroenteritis</t>
  </si>
  <si>
    <t>Norovirus</t>
  </si>
  <si>
    <t>Resident Days</t>
  </si>
  <si>
    <t>Scabies</t>
  </si>
  <si>
    <t>Avg</t>
  </si>
  <si>
    <t>Type</t>
  </si>
  <si>
    <t>Annual Avg</t>
  </si>
  <si>
    <t>MRSA</t>
  </si>
  <si>
    <t>VRE</t>
  </si>
  <si>
    <t>ESBL</t>
  </si>
  <si>
    <t>CPE</t>
  </si>
  <si>
    <t>HIV</t>
  </si>
  <si>
    <t>Hepatitis</t>
  </si>
  <si>
    <t>Average</t>
  </si>
  <si>
    <t>Infected</t>
  </si>
  <si>
    <t>Colonized</t>
  </si>
  <si>
    <t>Type of Swab</t>
  </si>
  <si>
    <t>Date of Swab</t>
  </si>
  <si>
    <t>Status of ARO</t>
  </si>
  <si>
    <t>Mary Soble</t>
  </si>
  <si>
    <t>Derry</t>
  </si>
  <si>
    <t>X</t>
  </si>
  <si>
    <t>unresolved</t>
  </si>
  <si>
    <t>Not swab, urine collected and tested for C&amp;S on 28/03/2018</t>
  </si>
  <si>
    <t>Hung Tran</t>
  </si>
  <si>
    <t/>
  </si>
  <si>
    <t>Yash Bardesha</t>
  </si>
  <si>
    <t>Meadowvale</t>
  </si>
  <si>
    <t>Dawn Roberts</t>
  </si>
  <si>
    <t>Dundas</t>
  </si>
  <si>
    <t>Ruth Bentley</t>
  </si>
  <si>
    <t>Sheridan</t>
  </si>
  <si>
    <t>Josephine D'Sousa</t>
  </si>
  <si>
    <t>Not swab, urine collected and tested for C&amp;S on 23/04/2018</t>
  </si>
  <si>
    <t>Jose Borges</t>
  </si>
  <si>
    <t>Village</t>
  </si>
  <si>
    <t>RH</t>
  </si>
  <si>
    <t>LTC</t>
  </si>
  <si>
    <t>Feb</t>
  </si>
  <si>
    <t>Mar</t>
  </si>
  <si>
    <t>Jun</t>
  </si>
  <si>
    <t>Aug</t>
  </si>
  <si>
    <t>Sept</t>
  </si>
  <si>
    <t>Jan</t>
  </si>
  <si>
    <t>Oct</t>
  </si>
  <si>
    <t>Nov</t>
  </si>
  <si>
    <t>Dec</t>
  </si>
  <si>
    <t>Fever (Calculated)</t>
  </si>
  <si>
    <t xml:space="preserve"> </t>
  </si>
  <si>
    <t>Year:</t>
  </si>
  <si>
    <t>C. difficile</t>
  </si>
  <si>
    <t>Conjunctivitis</t>
  </si>
  <si>
    <t>Mouth/Perioral infection</t>
  </si>
  <si>
    <t>Fungal</t>
  </si>
  <si>
    <t>Cellulitis/Soft Tissue/Wound</t>
  </si>
  <si>
    <t>Primary Bloodstream Infection</t>
  </si>
  <si>
    <t>Unexplained febrile episode</t>
  </si>
  <si>
    <t>Systemic Infection</t>
  </si>
  <si>
    <t>Antimicrobial Resistant Organisms (AROs)</t>
  </si>
  <si>
    <t>UTI - NO indwelling catheter</t>
  </si>
  <si>
    <t>Herpes virus</t>
  </si>
  <si>
    <t>Physician Diagnosed</t>
  </si>
  <si>
    <t>Systemic Infections</t>
  </si>
  <si>
    <t>Other</t>
  </si>
  <si>
    <t>Yes</t>
  </si>
  <si>
    <t>No</t>
  </si>
  <si>
    <t>MRSA Colonized</t>
  </si>
  <si>
    <t>MRSA Infected</t>
  </si>
  <si>
    <t>Total AROs</t>
  </si>
  <si>
    <t>CPE Colonized</t>
  </si>
  <si>
    <t>CPE Infected</t>
  </si>
  <si>
    <t>Gastro</t>
  </si>
  <si>
    <t>Jul</t>
  </si>
  <si>
    <t>Sep</t>
  </si>
  <si>
    <t>Apr</t>
  </si>
  <si>
    <t>Additional Details</t>
  </si>
  <si>
    <t>Temperature (°C)</t>
  </si>
  <si>
    <t>Summary of all infections occuring in the home, including those acquired outside the facility</t>
  </si>
  <si>
    <t>Summary of infections occuring within the home (excluding those acquired outside the home)</t>
  </si>
  <si>
    <t>*Note: Enter each colonization/infection for an individual as a separate line, including colonizations and infections due to the same pathogen*</t>
  </si>
  <si>
    <t>**Note: enter each infection for an individual as a separate line, including the month in which each infection was diagnosed and whether this was deemed to be acquired within the current facility **</t>
  </si>
  <si>
    <t>Date Symptoms Started (dd/mm/yyyy)</t>
  </si>
  <si>
    <t>Date of specimen collection (dd/mm/yyyy)</t>
  </si>
  <si>
    <t>Introduction</t>
  </si>
  <si>
    <t>Sections of the Form</t>
  </si>
  <si>
    <t>Glossary:</t>
  </si>
  <si>
    <t>Infections:</t>
  </si>
  <si>
    <t>Total Inf:</t>
  </si>
  <si>
    <t>Inf Instructions:</t>
  </si>
  <si>
    <t>Instructions for determining whether a resident meets the case definition for an individual infection, and instructions for data entry.</t>
  </si>
  <si>
    <t>ARO:</t>
  </si>
  <si>
    <t>Data entry tab for inputting of resident data, including whether or not the resident met the specified definition for a specific ARO colonization or infection.</t>
  </si>
  <si>
    <t>Total AROs:</t>
  </si>
  <si>
    <t>How to Interpret Data</t>
  </si>
  <si>
    <t>The data entered herein belongs to each facility and interpretation of individual results is the responsibility of the Infection Prevention and Control team/individual</t>
  </si>
  <si>
    <t xml:space="preserve">Note that certain fields within the form have been locked to preserve data validation and calculation fields. </t>
  </si>
  <si>
    <t>Suggested Use</t>
  </si>
  <si>
    <t>Stakeholders may use this surveillance reporting form to monitor and understand disease trends within their facility.</t>
  </si>
  <si>
    <t>How to Cite this Document</t>
  </si>
  <si>
    <t>Disclaimer</t>
  </si>
  <si>
    <t xml:space="preserve">3. From the dropdown box, indicate Yes or No in the column titled ‘Was the infection determined to be acquired within the current facility (Y/N)’.  Refer to the case </t>
  </si>
  <si>
    <t xml:space="preserve">definitions for instructions on how to attribute cases to either the LTCH/RH or elsewhere (e.g., another healthcare facility, community).   Only cases attributed to the LTCH/RH </t>
  </si>
  <si>
    <t xml:space="preserve">4. If the resident had an elevated temperature at any point during the infection, enter the highest numerical temperature in the corresponding column.  If the temperature </t>
  </si>
  <si>
    <t xml:space="preserve">entered exceeds 37.7 degrees Celsius, a ‘Yes’ will appear in the column labelled ‘Fever’.  If the temperature is equal to or less than 37.7 degrees Celsius, a ‘No’ will appear in </t>
  </si>
  <si>
    <t xml:space="preserve">5. Using the case validation forms and/or the case definition document, determine if the resident’s signs and symptoms of infection satisfy the case definition for the </t>
  </si>
  <si>
    <t xml:space="preserve">suspected infection.  Refer to the daily surveillance form, resident progress notes, laboratory results, diagnostic imaging results and any other documentation or test </t>
  </si>
  <si>
    <t xml:space="preserve">6. Start a new line for each resident.  If the same resident develops more than one unrelated infection, start a new line for each infection.  </t>
  </si>
  <si>
    <t xml:space="preserve">7. The columns titled ‘Other’ can be used to customize the form to the needs of the LTCH/RHs.  For example, if a LTCH has a large population with Hepatitis B and is concerned </t>
  </si>
  <si>
    <t>about specifically tracking Hepatitis B infections, an ‘Other’ column can be renamed Hepatitis B and this specific infection can be tracked.</t>
  </si>
  <si>
    <t xml:space="preserve">residents with respiratory tract infections met the case definition for the month of January on the Infections tab, the number 3 should appear in the January / Respiratory cell).    </t>
  </si>
  <si>
    <t xml:space="preserve">corresponding to the month in order for the rate to be calculated.  Resident days is defined as the total number of days all of the residents were at risk for an infection during </t>
  </si>
  <si>
    <t>the month (i.e. a resident who was present on January 1st and still present on January 31st has contributed 31 resident days to the total while a resident who was a new</t>
  </si>
  <si>
    <t>The rate calculation is performed using the following formula:</t>
  </si>
  <si>
    <r>
      <t xml:space="preserve">Incidence rate          =     </t>
    </r>
    <r>
      <rPr>
        <u/>
        <sz val="11"/>
        <color theme="1"/>
        <rFont val="Calibri"/>
        <family val="2"/>
        <scheme val="minor"/>
      </rPr>
      <t>Number of new cases of a particular infection type during the month</t>
    </r>
  </si>
  <si>
    <t>(rate of new cases)                    Total number of residents days for the same month</t>
  </si>
  <si>
    <t>The resident days for each month may be obtainable through the administrator or finance department, depending on the organization.</t>
  </si>
  <si>
    <t xml:space="preserve">10. Below each table, a graph is generated reflecting the total number of infections by infection type per month or reflecting th rates by infection type per month.  </t>
  </si>
  <si>
    <t>identifying information, room number and date the symptoms started.</t>
  </si>
  <si>
    <t>recommended to start a new file every year.</t>
  </si>
  <si>
    <t xml:space="preserve"> by Month).  </t>
  </si>
  <si>
    <t xml:space="preserve">Glossary </t>
  </si>
  <si>
    <t>through the production of carbapenemase.</t>
  </si>
  <si>
    <t>that hydrolyse all cephalosporins, including third-generation cephalosporins.</t>
  </si>
  <si>
    <t>CPE:</t>
  </si>
  <si>
    <t>ESBL:</t>
  </si>
  <si>
    <r>
      <t xml:space="preserve">(VRE), carbapenemase producing </t>
    </r>
    <r>
      <rPr>
        <i/>
        <sz val="11"/>
        <color theme="1"/>
        <rFont val="Calibri"/>
        <family val="2"/>
        <scheme val="minor"/>
      </rPr>
      <t xml:space="preserve">Enterobacteriaceae </t>
    </r>
    <r>
      <rPr>
        <sz val="11"/>
        <color theme="1"/>
        <rFont val="Calibri"/>
        <family val="2"/>
        <scheme val="minor"/>
      </rPr>
      <t xml:space="preserve">(CPE), extended spectrum beta-lactamase producing </t>
    </r>
    <r>
      <rPr>
        <i/>
        <sz val="11"/>
        <color theme="1"/>
        <rFont val="Calibri"/>
        <family val="2"/>
        <scheme val="minor"/>
      </rPr>
      <t xml:space="preserve">Enterobacteriaceae </t>
    </r>
    <r>
      <rPr>
        <sz val="11"/>
        <color theme="1"/>
        <rFont val="Calibri"/>
        <family val="2"/>
        <scheme val="minor"/>
      </rPr>
      <t>(ESBL)).</t>
    </r>
  </si>
  <si>
    <r>
      <t xml:space="preserve">Extended-spectrum beta-lactamase producing </t>
    </r>
    <r>
      <rPr>
        <i/>
        <sz val="11"/>
        <color rgb="FF000000"/>
        <rFont val="Calibri"/>
        <family val="2"/>
        <scheme val="minor"/>
      </rPr>
      <t>Enterobacteriaceae</t>
    </r>
    <r>
      <rPr>
        <sz val="11"/>
        <color rgb="FF000000"/>
        <rFont val="Calibri"/>
        <family val="2"/>
        <scheme val="minor"/>
      </rPr>
      <t xml:space="preserve"> (ESBL) are enzymes that may be produced by some strains of </t>
    </r>
    <r>
      <rPr>
        <i/>
        <sz val="11"/>
        <color rgb="FF000000"/>
        <rFont val="Calibri"/>
        <family val="2"/>
        <scheme val="minor"/>
      </rPr>
      <t xml:space="preserve">Enterobacteriaceae </t>
    </r>
  </si>
  <si>
    <t>Infection:</t>
  </si>
  <si>
    <t xml:space="preserve">them from full participation in the activities of daily living. The people who use long-term care services are usually the elderly, people with disabilities </t>
  </si>
  <si>
    <t>and people who have a chronic or prolonged illness.</t>
  </si>
  <si>
    <t>MRSA:</t>
  </si>
  <si>
    <t xml:space="preserve">≥ 4 mcg/ml and contains the mecA gene coding for penicillin-binding protein 2a (PBP 2a). MRSA is resistant to all of the beta-lactam classes of antibiotics, </t>
  </si>
  <si>
    <t>such as penicillins, penicillinase-resistant penicillins (e.g., cloxacillin) and cephalosporins.</t>
  </si>
  <si>
    <t xml:space="preserve">Urinary tract infection. </t>
  </si>
  <si>
    <t>UTI:</t>
  </si>
  <si>
    <t>VRE:</t>
  </si>
  <si>
    <r>
      <t xml:space="preserve">Vancomycin resistant Enterococci are strains of </t>
    </r>
    <r>
      <rPr>
        <i/>
        <sz val="11"/>
        <color theme="1"/>
        <rFont val="Calibri"/>
        <family val="2"/>
        <scheme val="minor"/>
      </rPr>
      <t>Enterococcus faecium</t>
    </r>
    <r>
      <rPr>
        <sz val="11"/>
        <color theme="1"/>
        <rFont val="Calibri"/>
        <family val="2"/>
        <scheme val="minor"/>
      </rPr>
      <t xml:space="preserve"> or </t>
    </r>
    <r>
      <rPr>
        <i/>
        <sz val="11"/>
        <color theme="1"/>
        <rFont val="Calibri"/>
        <family val="2"/>
        <scheme val="minor"/>
      </rPr>
      <t>Enterococcus faecalis</t>
    </r>
    <r>
      <rPr>
        <sz val="11"/>
        <color theme="1"/>
        <rFont val="Calibri"/>
        <family val="2"/>
        <scheme val="minor"/>
      </rPr>
      <t xml:space="preserve"> that have a minimal inhibitory concentration (MIC) to</t>
    </r>
  </si>
  <si>
    <r>
      <t xml:space="preserve"> vancomycin of ≥ 32 mcg/ml. and/or contain the resistance genes </t>
    </r>
    <r>
      <rPr>
        <i/>
        <sz val="11"/>
        <color theme="1"/>
        <rFont val="Calibri"/>
        <family val="2"/>
        <scheme val="minor"/>
      </rPr>
      <t>vanA</t>
    </r>
    <r>
      <rPr>
        <sz val="11"/>
        <color theme="1"/>
        <rFont val="Calibri"/>
        <family val="2"/>
        <scheme val="minor"/>
      </rPr>
      <t xml:space="preserve"> or </t>
    </r>
    <r>
      <rPr>
        <i/>
        <sz val="11"/>
        <color theme="1"/>
        <rFont val="Calibri"/>
        <family val="2"/>
        <scheme val="minor"/>
      </rPr>
      <t>vanB.</t>
    </r>
  </si>
  <si>
    <t>The presence and growth of a microorganism in or on a body with growth and multiplication but without tissue invasion or cellular injury or symptoms.</t>
  </si>
  <si>
    <t xml:space="preserve">The entry and multiplication of an infectious agent in the tissues of the host.  </t>
  </si>
  <si>
    <t>HAI:</t>
  </si>
  <si>
    <t>Infection rate:</t>
  </si>
  <si>
    <t xml:space="preserve">Infection rate or incidence rate is a measurement of new cases of disease occurring within a population over a given period of time.  The numerator is </t>
  </si>
  <si>
    <t>the number of new cases detected and the denominator is the initial population at risk for developing that particular infection or even during a given</t>
  </si>
  <si>
    <t xml:space="preserve">time frame. </t>
  </si>
  <si>
    <t xml:space="preserve">Health care-associated infection (HAI) is a term related to an infection that is acquired during the delivery of health care.  Also referred to as </t>
  </si>
  <si>
    <t>Monthly rates of home associated infections, per 1,000 resident days (excluding those acquired outside the home)</t>
  </si>
  <si>
    <t xml:space="preserve">home-associated infections in this tool. </t>
  </si>
  <si>
    <t>Total Number of AROs acquired within the home by Month</t>
  </si>
  <si>
    <t>Monthly Rates of AROs acquired within the home per 1,000 Resident Days</t>
  </si>
  <si>
    <t>Resident days:</t>
  </si>
  <si>
    <r>
      <t xml:space="preserve">Methicillin resistant </t>
    </r>
    <r>
      <rPr>
        <i/>
        <sz val="11"/>
        <color rgb="FF000000"/>
        <rFont val="Calibri"/>
        <family val="2"/>
        <scheme val="minor"/>
      </rPr>
      <t>Staphylococcus aureus</t>
    </r>
    <r>
      <rPr>
        <sz val="11"/>
        <color rgb="FF000000"/>
        <rFont val="Calibri"/>
        <family val="2"/>
        <scheme val="minor"/>
      </rPr>
      <t xml:space="preserve"> (MRSA) is a strain of </t>
    </r>
    <r>
      <rPr>
        <i/>
        <sz val="11"/>
        <color rgb="FF000000"/>
        <rFont val="Calibri"/>
        <family val="2"/>
        <scheme val="minor"/>
      </rPr>
      <t xml:space="preserve">Staphylococcus aureus </t>
    </r>
    <r>
      <rPr>
        <sz val="11"/>
        <color rgb="FF000000"/>
        <rFont val="Calibri"/>
        <family val="2"/>
        <scheme val="minor"/>
      </rPr>
      <t xml:space="preserve">that has a minimal inhibitory concentration (MIC) to oxacillin of </t>
    </r>
  </si>
  <si>
    <t>of May they would contribute 31 days of risk to the total).</t>
  </si>
  <si>
    <t xml:space="preserve">Resident days is defined as the sum of the total number of days each resident was at risk for an infection in a given month.  Residents are only at risk for a </t>
  </si>
  <si>
    <t xml:space="preserve">health care-associated/home-associated infection while they are present in the home (e.g. If Resident A was present in the home every day for the month </t>
  </si>
  <si>
    <t>6.  In the second table (Monthly Rates of AROs acquired within the home per 1000 Resident Days), the ‘resident days’ column will automatically populate from the resident</t>
  </si>
  <si>
    <t>1.  Enter the name of the long-term care home (LTCH) or retirement home (RH) at the top of the form. Enter the year in the ‘year’ cell at the top of the form.  It is</t>
  </si>
  <si>
    <r>
      <t>The</t>
    </r>
    <r>
      <rPr>
        <b/>
        <sz val="11"/>
        <color theme="1"/>
        <rFont val="Calibri"/>
        <family val="2"/>
        <scheme val="minor"/>
      </rPr>
      <t xml:space="preserve"> ARO tab</t>
    </r>
    <r>
      <rPr>
        <sz val="11"/>
        <color theme="1"/>
        <rFont val="Calibri"/>
        <family val="2"/>
        <scheme val="minor"/>
      </rPr>
      <t xml:space="preserve"> is used to input your resident data related to cases of AROs.  </t>
    </r>
  </si>
  <si>
    <t>is recommended to start a new file every year.</t>
  </si>
  <si>
    <r>
      <t xml:space="preserve">1.  On the </t>
    </r>
    <r>
      <rPr>
        <b/>
        <sz val="11"/>
        <color theme="1"/>
        <rFont val="Calibri"/>
        <family val="2"/>
        <scheme val="minor"/>
      </rPr>
      <t>ARO tab</t>
    </r>
    <r>
      <rPr>
        <sz val="11"/>
        <color theme="1"/>
        <rFont val="Calibri"/>
        <family val="2"/>
        <scheme val="minor"/>
      </rPr>
      <t xml:space="preserve">, enter the name of the long-term care home (LTCH) or retirement home (RH) at the top of the form. Enter the year in the ‘year’ cell at the top of the form.  It </t>
    </r>
  </si>
  <si>
    <r>
      <t xml:space="preserve"> days entered into the table in the </t>
    </r>
    <r>
      <rPr>
        <b/>
        <sz val="11"/>
        <color theme="1"/>
        <rFont val="Calibri"/>
        <family val="2"/>
        <scheme val="minor"/>
      </rPr>
      <t>Total Inf</t>
    </r>
    <r>
      <rPr>
        <sz val="11"/>
        <color theme="1"/>
        <rFont val="Calibri"/>
        <family val="2"/>
        <scheme val="minor"/>
      </rPr>
      <t xml:space="preserve"> tab and the monthly rate for each ARO colonization and infection will be calculated. </t>
    </r>
  </si>
  <si>
    <t xml:space="preserve">7. Below each table, a graph is generated reflecting the total number of colonizations or infections by ARO per month and reflecting the colonization or infection rate (cases  </t>
  </si>
  <si>
    <t xml:space="preserve">per 1000 resident days) by ARO per month. These graphs can be copied and pasted into other documents or reports to share the data.  </t>
  </si>
  <si>
    <r>
      <t xml:space="preserve">2.  On the </t>
    </r>
    <r>
      <rPr>
        <b/>
        <sz val="11"/>
        <color theme="1"/>
        <rFont val="Calibri"/>
        <family val="2"/>
        <scheme val="minor"/>
      </rPr>
      <t>ARO tab</t>
    </r>
    <r>
      <rPr>
        <sz val="11"/>
        <color theme="1"/>
        <rFont val="Calibri"/>
        <family val="2"/>
        <scheme val="minor"/>
      </rPr>
      <t xml:space="preserve">, start a new line for each case.  Enter the month during which the specimen was collected.  In addition, enter the resident name, unit/wing/floor or any </t>
    </r>
  </si>
  <si>
    <t>location identifying  information,room number and date the specimen was collected.</t>
  </si>
  <si>
    <t>See case definitions for more information.</t>
  </si>
  <si>
    <r>
      <t xml:space="preserve">3.  On the </t>
    </r>
    <r>
      <rPr>
        <b/>
        <sz val="11"/>
        <color theme="1"/>
        <rFont val="Calibri"/>
        <family val="2"/>
        <scheme val="minor"/>
      </rPr>
      <t>ARO tab</t>
    </r>
    <r>
      <rPr>
        <sz val="11"/>
        <color theme="1"/>
        <rFont val="Calibri"/>
        <family val="2"/>
        <scheme val="minor"/>
      </rPr>
      <t xml:space="preserve">, from the dropdown box, indicate ‘yes’ or ‘no’ in the column titled ‘Was the colonization/infection determined to be acquired within the current facility?’. </t>
    </r>
  </si>
  <si>
    <t>Lower Respiratory Tract Infection</t>
  </si>
  <si>
    <t xml:space="preserve">2.  Enter the month during which the signs or symptoms of the infections started.  Enter the resident name, unit/wing/floor or any location </t>
  </si>
  <si>
    <t>the column labelled ‘Fever’.  Refer to the case definitions for a complete definition of fever.</t>
  </si>
  <si>
    <r>
      <t xml:space="preserve">8. On the </t>
    </r>
    <r>
      <rPr>
        <b/>
        <sz val="11"/>
        <color theme="1"/>
        <rFont val="Calibri"/>
        <family val="2"/>
        <scheme val="minor"/>
      </rPr>
      <t>Total Inf tab</t>
    </r>
    <r>
      <rPr>
        <sz val="11"/>
        <color theme="1"/>
        <rFont val="Calibri"/>
        <family val="2"/>
        <scheme val="minor"/>
      </rPr>
      <t xml:space="preserve">, ensure the numbers of each infection type are counting accurately in the first table (Summary of infections occurring within the home)  (e.g. if 3 </t>
    </r>
  </si>
  <si>
    <r>
      <t xml:space="preserve">The </t>
    </r>
    <r>
      <rPr>
        <b/>
        <sz val="11"/>
        <color theme="1"/>
        <rFont val="Calibri"/>
        <family val="2"/>
        <scheme val="minor"/>
      </rPr>
      <t>Infections Tab</t>
    </r>
    <r>
      <rPr>
        <sz val="11"/>
        <color theme="1"/>
        <rFont val="Calibri"/>
        <family val="2"/>
        <scheme val="minor"/>
      </rPr>
      <t xml:space="preserve"> is used to input your resident data related to cases of infections.  </t>
    </r>
  </si>
  <si>
    <t xml:space="preserve">other information deemed relevant can be entered in the comments column (e.g., site of colonization or association with a medical device etc).   If the resident had multiple </t>
  </si>
  <si>
    <t xml:space="preserve"> admission on January 20th but still present on the 31st has contributed 11 days to the total).  Even if there are no cases of infections in a given month, resident days for that </t>
  </si>
  <si>
    <t xml:space="preserve">month must be entered.  </t>
  </si>
  <si>
    <r>
      <t>9. In the second table on the Total Inf tab (Monthly rates of home acquired infections, per 1000 resident days), the</t>
    </r>
    <r>
      <rPr>
        <b/>
        <sz val="11"/>
        <color theme="1"/>
        <rFont val="Calibri"/>
        <family val="2"/>
        <scheme val="minor"/>
      </rPr>
      <t xml:space="preserve"> total number of resident days must be entered</t>
    </r>
    <r>
      <rPr>
        <sz val="11"/>
        <color theme="1"/>
        <rFont val="Calibri"/>
        <family val="2"/>
        <scheme val="minor"/>
      </rPr>
      <t xml:space="preserve"> in the row </t>
    </r>
  </si>
  <si>
    <t xml:space="preserve">Antimicrobial resistant organisms (ARO) which are microorganisms that have developed resistance to the action of several antimicrobial agents </t>
  </si>
  <si>
    <r>
      <t xml:space="preserve">and that are of special clinical or epidemiological significance (i.e., methicillin resistant </t>
    </r>
    <r>
      <rPr>
        <i/>
        <sz val="11"/>
        <color rgb="FF000000"/>
        <rFont val="Calibri"/>
        <family val="2"/>
        <scheme val="minor"/>
      </rPr>
      <t>Staphylococcus aureus</t>
    </r>
    <r>
      <rPr>
        <sz val="11"/>
        <color rgb="FF000000"/>
        <rFont val="Calibri"/>
        <family val="2"/>
        <scheme val="minor"/>
      </rPr>
      <t xml:space="preserve"> (MRSA), Vancomycin resistant Enterococci, </t>
    </r>
  </si>
  <si>
    <r>
      <t>Carbapenemase producing</t>
    </r>
    <r>
      <rPr>
        <i/>
        <sz val="11"/>
        <color rgb="FF000000"/>
        <rFont val="Calibri"/>
        <family val="2"/>
        <scheme val="minor"/>
      </rPr>
      <t xml:space="preserve"> Enterobacteriaceae</t>
    </r>
    <r>
      <rPr>
        <sz val="11"/>
        <color rgb="FF000000"/>
        <rFont val="Calibri"/>
        <family val="2"/>
        <scheme val="minor"/>
      </rPr>
      <t xml:space="preserve"> (CPE) are resistant to carbapenem antimicrobials (e.g., imipenem, meropenem, ertapenem) </t>
    </r>
  </si>
  <si>
    <r>
      <t xml:space="preserve">performed related to the infection to make the decision.    If the resident meets the case definition, enter an </t>
    </r>
    <r>
      <rPr>
        <b/>
        <sz val="11"/>
        <color theme="1"/>
        <rFont val="Calibri"/>
        <family val="2"/>
        <scheme val="minor"/>
      </rPr>
      <t>X</t>
    </r>
    <r>
      <rPr>
        <sz val="11"/>
        <color theme="1"/>
        <rFont val="Calibri"/>
        <family val="2"/>
        <scheme val="minor"/>
      </rPr>
      <t xml:space="preserve"> under the corresponding infection type. Additional lab, </t>
    </r>
  </si>
  <si>
    <r>
      <t xml:space="preserve">antibiotic, physician diagnosis and comments can be added in the Comments column on the right hand side. If anything other than an </t>
    </r>
    <r>
      <rPr>
        <b/>
        <sz val="11"/>
        <color theme="1"/>
        <rFont val="Calibri"/>
        <family val="2"/>
        <scheme val="minor"/>
      </rPr>
      <t>X</t>
    </r>
    <r>
      <rPr>
        <sz val="11"/>
        <color theme="1"/>
        <rFont val="Calibri"/>
        <family val="2"/>
        <scheme val="minor"/>
      </rPr>
      <t xml:space="preserve"> is entered into the cell, it will not be</t>
    </r>
  </si>
  <si>
    <t xml:space="preserve"> counted as a case.</t>
  </si>
  <si>
    <r>
      <t>(and therefore classified as healthcare-associated/home-associated) will used to calculate rates. A</t>
    </r>
    <r>
      <rPr>
        <b/>
        <sz val="11"/>
        <color theme="1"/>
        <rFont val="Calibri"/>
        <family val="2"/>
        <scheme val="minor"/>
      </rPr>
      <t xml:space="preserve"> Yes</t>
    </r>
    <r>
      <rPr>
        <sz val="11"/>
        <color theme="1"/>
        <rFont val="Calibri"/>
        <family val="2"/>
        <scheme val="minor"/>
      </rPr>
      <t xml:space="preserve"> or </t>
    </r>
    <r>
      <rPr>
        <b/>
        <sz val="11"/>
        <color theme="1"/>
        <rFont val="Calibri"/>
        <family val="2"/>
        <scheme val="minor"/>
      </rPr>
      <t>No</t>
    </r>
    <r>
      <rPr>
        <sz val="11"/>
        <color theme="1"/>
        <rFont val="Calibri"/>
        <family val="2"/>
        <scheme val="minor"/>
      </rPr>
      <t xml:space="preserve"> must be entered into this cell.</t>
    </r>
  </si>
  <si>
    <r>
      <t xml:space="preserve">11.   At the bottom of the </t>
    </r>
    <r>
      <rPr>
        <b/>
        <sz val="11"/>
        <color theme="1"/>
        <rFont val="Calibri"/>
        <family val="2"/>
        <scheme val="minor"/>
      </rPr>
      <t>Total Inf tab</t>
    </r>
    <r>
      <rPr>
        <sz val="11"/>
        <color theme="1"/>
        <rFont val="Calibri"/>
        <family val="2"/>
        <scheme val="minor"/>
      </rPr>
      <t>, there is a table and graph that shows all cases, including those acquired outside of the home.</t>
    </r>
  </si>
  <si>
    <r>
      <t xml:space="preserve">8. At the bottom of the </t>
    </r>
    <r>
      <rPr>
        <b/>
        <sz val="11"/>
        <color theme="1"/>
        <rFont val="Calibri"/>
        <family val="2"/>
        <scheme val="minor"/>
      </rPr>
      <t>Total AROs</t>
    </r>
    <r>
      <rPr>
        <sz val="11"/>
        <color theme="1"/>
        <rFont val="Calibri"/>
        <family val="2"/>
        <scheme val="minor"/>
      </rPr>
      <t xml:space="preserve"> tab, there is a table and graph that shows all cases, including those acquired outside of the home.</t>
    </r>
  </si>
  <si>
    <r>
      <t xml:space="preserve">5. On the </t>
    </r>
    <r>
      <rPr>
        <b/>
        <sz val="11"/>
        <color theme="1"/>
        <rFont val="Calibri"/>
        <family val="2"/>
        <scheme val="minor"/>
      </rPr>
      <t>Total AROs</t>
    </r>
    <r>
      <rPr>
        <sz val="11"/>
        <color theme="1"/>
        <rFont val="Calibri"/>
        <family val="2"/>
        <scheme val="minor"/>
      </rPr>
      <t xml:space="preserve"> tab, ensure the numbers of each colonization or infection are being counted accurately in the first table (Total Number of AROs Acquired within the home</t>
    </r>
  </si>
  <si>
    <r>
      <t xml:space="preserve">4. On the </t>
    </r>
    <r>
      <rPr>
        <b/>
        <sz val="11"/>
        <color theme="1"/>
        <rFont val="Calibri"/>
        <family val="2"/>
        <scheme val="minor"/>
      </rPr>
      <t>ARO tab</t>
    </r>
    <r>
      <rPr>
        <sz val="11"/>
        <color theme="1"/>
        <rFont val="Calibri"/>
        <family val="2"/>
        <scheme val="minor"/>
      </rPr>
      <t xml:space="preserve">, indicate with an </t>
    </r>
    <r>
      <rPr>
        <b/>
        <sz val="11"/>
        <color theme="1"/>
        <rFont val="Calibri"/>
        <family val="2"/>
        <scheme val="minor"/>
      </rPr>
      <t>X</t>
    </r>
    <r>
      <rPr>
        <sz val="11"/>
        <color theme="1"/>
        <rFont val="Calibri"/>
        <family val="2"/>
        <scheme val="minor"/>
      </rPr>
      <t xml:space="preserve"> if the resident was either colonized or infected with the corresponding ARO based on the laboratory result (see case definitions).  Any </t>
    </r>
  </si>
  <si>
    <t>specimens collected on the same day (e.g., nares and perianal swabs were collected for MRSA) and they are all positive only enter resident as one case. If anything other</t>
  </si>
  <si>
    <r>
      <t xml:space="preserve">than an </t>
    </r>
    <r>
      <rPr>
        <b/>
        <sz val="11"/>
        <color theme="1"/>
        <rFont val="Calibri"/>
        <family val="2"/>
        <scheme val="minor"/>
      </rPr>
      <t>X</t>
    </r>
    <r>
      <rPr>
        <sz val="11"/>
        <color theme="1"/>
        <rFont val="Calibri"/>
        <family val="2"/>
        <scheme val="minor"/>
      </rPr>
      <t xml:space="preserve"> gets entered into the cell, the case will not be counted.</t>
    </r>
  </si>
  <si>
    <t>Acknowledgements</t>
  </si>
  <si>
    <t xml:space="preserve">for common infections and antibiotic resistant organisms (AROs).  </t>
  </si>
  <si>
    <t xml:space="preserve">This tool may be freely used without permission for non-commercial purposes only and provided that appropriate credit is given to IPAC Canada and Public Health Ontario (PHO). </t>
  </si>
  <si>
    <t>It is the responsibility of the user to ensure that data entry, analysis, storage and retention are conducted in compliance with applicable legislation.</t>
  </si>
  <si>
    <t>Data cleaning, analysis and reporting are the responsibility of the user.</t>
  </si>
  <si>
    <t>ARO Instructions:</t>
  </si>
  <si>
    <t xml:space="preserve">This surveillance reporting form has been designed to be used in conjunction with IPAC Canada Surveillance Definitions of Infections in Canadian Long Term Care Facilities </t>
  </si>
  <si>
    <t>as well as the provided case validation forms.</t>
  </si>
  <si>
    <t>Infection Prevention and Control Canada (IPAC Canada). Long-Term Care Facility Surveillance Reporting Form (Version 1.0; Released September 2020).</t>
  </si>
  <si>
    <t>Colonisation:</t>
  </si>
  <si>
    <t>LTC:</t>
  </si>
  <si>
    <t>Unit</t>
  </si>
  <si>
    <t xml:space="preserve">Facility name: </t>
  </si>
  <si>
    <t>Eye and Mouth</t>
  </si>
  <si>
    <t>Was the infection an HAI? (Y/N)</t>
  </si>
  <si>
    <t>Was the colonization/infection an HAI? (Y/N)</t>
  </si>
  <si>
    <t xml:space="preserve">Long-Term Care Surveillance Reporting Form </t>
  </si>
  <si>
    <r>
      <t>Prepared by:</t>
    </r>
    <r>
      <rPr>
        <sz val="11"/>
        <color rgb="FF000000"/>
        <rFont val="Calibri"/>
        <family val="2"/>
        <scheme val="minor"/>
      </rPr>
      <t xml:space="preserve"> IPAC Canada and Public Health Ontario</t>
    </r>
  </si>
  <si>
    <r>
      <t>Date of creation</t>
    </r>
    <r>
      <rPr>
        <sz val="11"/>
        <color rgb="FF000000"/>
        <rFont val="Calibri"/>
        <family val="2"/>
        <scheme val="minor"/>
      </rPr>
      <t>: September 2020</t>
    </r>
  </si>
  <si>
    <r>
      <t xml:space="preserve">Primary contact: </t>
    </r>
    <r>
      <rPr>
        <sz val="11"/>
        <color rgb="FF000000"/>
        <rFont val="Calibri"/>
        <family val="2"/>
        <scheme val="minor"/>
      </rPr>
      <t xml:space="preserve">IPAC Canada Surveillance and Applied Epidemiology Interest Group at </t>
    </r>
    <r>
      <rPr>
        <u/>
        <sz val="11"/>
        <color rgb="FF0070C0"/>
        <rFont val="Calibri"/>
        <family val="2"/>
        <scheme val="minor"/>
      </rPr>
      <t>saeig@ipac-canada.org</t>
    </r>
  </si>
  <si>
    <t>This reporting form provides a template for Long-Term Care facilities to document daily surveillance outcomes for residents according to standardized surveillance definitions</t>
  </si>
  <si>
    <t xml:space="preserve">The form provides calculation and presentation of overall case counts and rates of infections and AROs, as well as of those deemed to have been acquired within the facility </t>
  </si>
  <si>
    <t>Definition of terms and acronyms used within the form.</t>
  </si>
  <si>
    <t>Data entry tab for inputting resident data, including whether or not the resident met the specified definition for a specific infection</t>
  </si>
  <si>
    <t xml:space="preserve">Summary of the total number of each infection identified within the facility during the reporting period, and rates of each infection per 1,000 resident days, </t>
  </si>
  <si>
    <t>for all infections and for those deemed to have been acquired within the facility.</t>
  </si>
  <si>
    <t>Instructions for determining whether a resident meets the case definition for an infection or colonisation event with an ARO, and instructions for data entry.</t>
  </si>
  <si>
    <t xml:space="preserve">Summary of the total number of each ARO colonization/infection identified within the facility during the reporting period, and rates of each ARO per 1,000 resident days, </t>
  </si>
  <si>
    <t>for all AROs and for those deemed to have been acquired within the facility.</t>
  </si>
  <si>
    <t xml:space="preserve">Staff Inf Instructions: </t>
  </si>
  <si>
    <t>Staff Inf:</t>
  </si>
  <si>
    <t xml:space="preserve">Data entry tab for inputting staff data, including whether or not the staff met the specified case definition for a specific infection. </t>
  </si>
  <si>
    <t xml:space="preserve">Total Staff Inf: </t>
  </si>
  <si>
    <t xml:space="preserve">within each facility. Please review the instructions for case classification and data entry to ensure that the form is used correctly. </t>
  </si>
  <si>
    <t>The data can be used to inform and support infection prevention and control activities within long-term care facility to support resident and staff safety.</t>
  </si>
  <si>
    <t xml:space="preserve">This tool was originally developed by Public Health Ontario - IPAC Central-West team members (Bois Marufov, Devon Metcalf, Katherine Paphitis), in collaboration with Schlegel Villages (Ontario; </t>
  </si>
  <si>
    <t xml:space="preserve">Wendy Miller, Jessica Jasper) and provided to IPAC Canada by formal agreement. </t>
  </si>
  <si>
    <t xml:space="preserve">Long-term care facilities include a broad range of personal care, support and health services provided to people who have limitations that prevent </t>
  </si>
  <si>
    <t>Infection Instructions</t>
  </si>
  <si>
    <t>Antimicrobial Resistance Organisms (AROs) Instructions</t>
  </si>
  <si>
    <t>Facility name:</t>
  </si>
  <si>
    <t xml:space="preserve">Instructions for determining whether a staff member meets case definition for an individual infection, and instructions for data entry. </t>
  </si>
  <si>
    <t xml:space="preserve">Summary of the total number of each infection identified among staff within the facility during the reporting period. </t>
  </si>
  <si>
    <t>VRE BSIs</t>
  </si>
  <si>
    <t>Total Number of AROs in home by month, regardless of where these where acquired</t>
  </si>
  <si>
    <t>VRE BSI</t>
  </si>
  <si>
    <t>ESBL Colonized</t>
  </si>
  <si>
    <t>ESBL Infected</t>
  </si>
  <si>
    <t>Updates made to appendix</t>
  </si>
  <si>
    <t>ESBL Colonization and Infection added to ARO and Total AROs</t>
  </si>
  <si>
    <t>Coding for ARO months updated (fixed)</t>
  </si>
  <si>
    <t>COVID-19</t>
  </si>
  <si>
    <t>COVID-19 added in place of 'Other Infections A'</t>
  </si>
  <si>
    <t>Upper Respiratory Tract Infection</t>
  </si>
  <si>
    <t>Upper respiratory infections added to respiratory infections tab</t>
  </si>
  <si>
    <t>[Other] Infections A</t>
  </si>
  <si>
    <t>CAUTI (catheter-associated UTI)</t>
  </si>
  <si>
    <t>Optional 1</t>
  </si>
  <si>
    <t>Updated column headers in 'Infections' and 'Total Inf' tabs to align with updated IPAC Canada surveillance definitions</t>
  </si>
  <si>
    <t>Eye/mouth</t>
  </si>
  <si>
    <t>Influenza</t>
  </si>
  <si>
    <t>Staff Infections</t>
  </si>
  <si>
    <t>Staff Name</t>
  </si>
  <si>
    <t>Last date worked</t>
  </si>
  <si>
    <t>Summary of infections occuring in staff</t>
  </si>
  <si>
    <t>Added tabs for surveillance of staff infections</t>
  </si>
  <si>
    <t>**Note: enter each infection for an individual as a separate line, including the month in which each infection was diagnosed **</t>
  </si>
  <si>
    <t>Optional 2</t>
  </si>
  <si>
    <t>[Other] Infections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</si>
</sst>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9]mmmm\ d\,\ yyyy;@"/>
  </numFmts>
  <fonts count="26"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1"/>
      <color theme="0"/>
      <name val="Calibri"/>
      <family val="2"/>
      <scheme val="minor"/>
    </font>
    <font>
      <b/>
      <sz val="10"/>
      <color theme="2"/>
      <name val="Calibri"/>
      <family val="2"/>
      <scheme val="minor"/>
    </font>
    <font>
      <sz val="10"/>
      <color theme="1"/>
      <name val="Calibri"/>
      <family val="2"/>
      <scheme val="minor"/>
    </font>
    <font>
      <sz val="10"/>
      <color theme="2"/>
      <name val="Calibri"/>
      <family val="2"/>
      <scheme val="minor"/>
    </font>
    <font>
      <b/>
      <sz val="10"/>
      <color theme="1"/>
      <name val="Calibri"/>
      <family val="2"/>
      <scheme val="minor"/>
    </font>
    <font>
      <sz val="10"/>
      <name val="Calibri"/>
      <family val="2"/>
      <scheme val="minor"/>
    </font>
    <font>
      <b/>
      <sz val="16"/>
      <color theme="0"/>
      <name val="Calibri"/>
      <family val="2"/>
      <scheme val="minor"/>
    </font>
    <font>
      <b/>
      <sz val="16"/>
      <color theme="2"/>
      <name val="Calibri"/>
      <family val="2"/>
      <scheme val="minor"/>
    </font>
    <font>
      <b/>
      <sz val="10"/>
      <color theme="0"/>
      <name val="Calibri"/>
      <family val="2"/>
      <scheme val="minor"/>
    </font>
    <font>
      <b/>
      <sz val="10"/>
      <name val="Calibri"/>
      <family val="2"/>
      <scheme val="minor"/>
    </font>
    <font>
      <b/>
      <i/>
      <sz val="10"/>
      <color theme="1"/>
      <name val="Calibri"/>
      <family val="2"/>
      <scheme val="minor"/>
    </font>
    <font>
      <b/>
      <i/>
      <sz val="11"/>
      <color theme="1"/>
      <name val="Calibri"/>
      <family val="2"/>
      <scheme val="minor"/>
    </font>
    <font>
      <b/>
      <sz val="14"/>
      <color rgb="FF3D8704"/>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u/>
      <sz val="11"/>
      <color theme="1"/>
      <name val="Calibri"/>
      <family val="2"/>
      <scheme val="minor"/>
    </font>
    <font>
      <i/>
      <sz val="11"/>
      <color rgb="FF000000"/>
      <name val="Calibri"/>
      <family val="2"/>
      <scheme val="minor"/>
    </font>
    <font>
      <u/>
      <sz val="11"/>
      <color rgb="FF0070C0"/>
      <name val="Calibri"/>
      <family val="2"/>
      <scheme val="minor"/>
    </font>
    <font>
      <sz val="10.5"/>
      <color theme="0"/>
      <name val="Calibri"/>
      <family val="2"/>
      <scheme val="minor"/>
    </font>
    <font>
      <sz val="12"/>
      <color theme="1"/>
      <name val="Calibri"/>
      <family val="2"/>
      <scheme val="minor"/>
    </font>
    <font>
      <b/>
      <sz val="14"/>
      <color theme="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6"/>
        <bgColor theme="6"/>
      </patternFill>
    </fill>
    <fill>
      <patternFill patternType="solid">
        <fgColor theme="6" tint="0.79998168889431442"/>
        <bgColor theme="6" tint="0.79998168889431442"/>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
      <patternFill patternType="solid">
        <fgColor rgb="FF00B0F0"/>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9999FF"/>
        <bgColor indexed="64"/>
      </patternFill>
    </fill>
    <fill>
      <patternFill patternType="solid">
        <fgColor rgb="FFFF6699"/>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rgb="FFCC66FF"/>
        <bgColor indexed="64"/>
      </patternFill>
    </fill>
    <fill>
      <patternFill patternType="solid">
        <fgColor rgb="FFEFBFDF"/>
        <bgColor indexed="64"/>
      </patternFill>
    </fill>
    <fill>
      <patternFill patternType="solid">
        <fgColor rgb="FFDE7CBD"/>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auto="1"/>
      </top>
      <bottom/>
      <diagonal/>
    </border>
    <border>
      <left/>
      <right/>
      <top style="medium">
        <color auto="1"/>
      </top>
      <bottom/>
      <diagonal/>
    </border>
    <border>
      <left style="medium">
        <color indexed="64"/>
      </left>
      <right/>
      <top style="medium">
        <color auto="1"/>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auto="1"/>
      </bottom>
      <diagonal/>
    </border>
    <border>
      <left style="medium">
        <color auto="1"/>
      </left>
      <right/>
      <top style="medium">
        <color auto="1"/>
      </top>
      <bottom style="thin">
        <color indexed="64"/>
      </bottom>
      <diagonal/>
    </border>
    <border>
      <left/>
      <right style="medium">
        <color indexed="64"/>
      </right>
      <top style="thin">
        <color indexed="64"/>
      </top>
      <bottom/>
      <diagonal/>
    </border>
    <border>
      <left/>
      <right style="medium">
        <color auto="1"/>
      </right>
      <top style="thin">
        <color indexed="64"/>
      </top>
      <bottom style="thin">
        <color indexed="64"/>
      </bottom>
      <diagonal/>
    </border>
    <border>
      <left/>
      <right style="thin">
        <color auto="1"/>
      </right>
      <top style="medium">
        <color auto="1"/>
      </top>
      <bottom style="medium">
        <color auto="1"/>
      </bottom>
      <diagonal/>
    </border>
    <border>
      <left/>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351">
    <xf numFmtId="0" fontId="0" fillId="0" borderId="0" xfId="0"/>
    <xf numFmtId="0" fontId="1" fillId="2" borderId="0" xfId="0" applyFont="1" applyFill="1"/>
    <xf numFmtId="14" fontId="0" fillId="0" borderId="0" xfId="0" applyNumberFormat="1"/>
    <xf numFmtId="0" fontId="0" fillId="0" borderId="9" xfId="0" applyBorder="1" applyProtection="1">
      <protection locked="0"/>
    </xf>
    <xf numFmtId="0" fontId="0" fillId="0" borderId="1" xfId="0" applyBorder="1" applyProtection="1">
      <protection locked="0"/>
    </xf>
    <xf numFmtId="0" fontId="0" fillId="0" borderId="12" xfId="0" applyBorder="1" applyProtection="1">
      <protection locked="0"/>
    </xf>
    <xf numFmtId="0" fontId="0" fillId="0" borderId="1" xfId="0" applyBorder="1" applyAlignment="1" applyProtection="1">
      <alignment vertical="center"/>
      <protection locked="0"/>
    </xf>
    <xf numFmtId="16" fontId="0" fillId="0" borderId="1" xfId="0" applyNumberFormat="1" applyBorder="1" applyProtection="1">
      <protection locked="0"/>
    </xf>
    <xf numFmtId="0" fontId="0" fillId="0" borderId="1" xfId="0" applyBorder="1" applyAlignment="1" applyProtection="1">
      <alignment vertical="center" wrapText="1"/>
      <protection locked="0"/>
    </xf>
    <xf numFmtId="0" fontId="0" fillId="0" borderId="41" xfId="0" applyBorder="1" applyProtection="1">
      <protection locked="0"/>
    </xf>
    <xf numFmtId="0" fontId="6" fillId="0" borderId="0" xfId="0" applyFont="1"/>
    <xf numFmtId="0" fontId="6" fillId="2" borderId="0" xfId="0" applyFont="1" applyFill="1" applyAlignment="1">
      <alignment horizontal="right"/>
    </xf>
    <xf numFmtId="0" fontId="6" fillId="2" borderId="0" xfId="0" applyFont="1" applyFill="1" applyAlignment="1">
      <alignment horizontal="right" wrapText="1"/>
    </xf>
    <xf numFmtId="0" fontId="6" fillId="2" borderId="0" xfId="0" applyFont="1" applyFill="1"/>
    <xf numFmtId="0" fontId="6" fillId="2" borderId="0" xfId="0" applyFont="1" applyFill="1" applyAlignment="1">
      <alignment wrapText="1"/>
    </xf>
    <xf numFmtId="0" fontId="6" fillId="0" borderId="0" xfId="0" applyFont="1" applyAlignment="1">
      <alignment vertical="top"/>
    </xf>
    <xf numFmtId="0" fontId="6" fillId="0" borderId="1" xfId="0" applyFont="1" applyBorder="1" applyAlignment="1" applyProtection="1">
      <alignment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4" fontId="6" fillId="0" borderId="1" xfId="0" applyNumberFormat="1"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4" fontId="9" fillId="0" borderId="1" xfId="0" applyNumberFormat="1" applyFont="1" applyBorder="1" applyAlignment="1" applyProtection="1">
      <alignment vertical="center"/>
      <protection locked="0"/>
    </xf>
    <xf numFmtId="0" fontId="9" fillId="0" borderId="1" xfId="0" applyFont="1" applyBorder="1" applyAlignment="1" applyProtection="1">
      <alignment vertical="center" wrapText="1"/>
      <protection locked="0"/>
    </xf>
    <xf numFmtId="0" fontId="6" fillId="0" borderId="0" xfId="0" applyFont="1" applyAlignment="1">
      <alignment wrapText="1"/>
    </xf>
    <xf numFmtId="0" fontId="5" fillId="0" borderId="0" xfId="0" applyFont="1" applyAlignment="1">
      <alignment horizontal="center"/>
    </xf>
    <xf numFmtId="0" fontId="9" fillId="0" borderId="38" xfId="0" applyFont="1" applyBorder="1" applyAlignment="1" applyProtection="1">
      <alignment vertical="center" wrapText="1"/>
      <protection locked="0"/>
    </xf>
    <xf numFmtId="0" fontId="6" fillId="0" borderId="38" xfId="0" applyFont="1" applyBorder="1" applyAlignment="1" applyProtection="1">
      <alignment vertical="center" wrapText="1"/>
      <protection locked="0"/>
    </xf>
    <xf numFmtId="0" fontId="6" fillId="0" borderId="38" xfId="0" applyFont="1" applyBorder="1" applyAlignment="1" applyProtection="1">
      <alignment horizontal="center" vertical="center" wrapText="1"/>
      <protection locked="0"/>
    </xf>
    <xf numFmtId="0" fontId="6" fillId="0" borderId="38" xfId="0" applyFont="1" applyBorder="1" applyAlignment="1" applyProtection="1">
      <alignment horizontal="center" wrapText="1"/>
      <protection locked="0"/>
    </xf>
    <xf numFmtId="0" fontId="0" fillId="2" borderId="16" xfId="0" applyFill="1" applyBorder="1"/>
    <xf numFmtId="0" fontId="0" fillId="2" borderId="0" xfId="0" applyFill="1"/>
    <xf numFmtId="0" fontId="0" fillId="2" borderId="43" xfId="0" applyFill="1" applyBorder="1"/>
    <xf numFmtId="0" fontId="6" fillId="5" borderId="3" xfId="0" applyFont="1" applyFill="1" applyBorder="1"/>
    <xf numFmtId="0" fontId="6" fillId="6" borderId="8" xfId="0" applyFont="1" applyFill="1" applyBorder="1"/>
    <xf numFmtId="0" fontId="6" fillId="2" borderId="27" xfId="0" applyFont="1" applyFill="1" applyBorder="1"/>
    <xf numFmtId="0" fontId="6" fillId="2" borderId="26" xfId="0" applyFont="1" applyFill="1" applyBorder="1"/>
    <xf numFmtId="0" fontId="6" fillId="2" borderId="43" xfId="0" applyFont="1" applyFill="1" applyBorder="1"/>
    <xf numFmtId="0" fontId="6" fillId="2" borderId="16" xfId="0" applyFont="1" applyFill="1" applyBorder="1"/>
    <xf numFmtId="0" fontId="8" fillId="2" borderId="0" xfId="0" applyFont="1" applyFill="1"/>
    <xf numFmtId="0" fontId="6" fillId="5" borderId="23" xfId="0" applyFont="1" applyFill="1" applyBorder="1"/>
    <xf numFmtId="2" fontId="6" fillId="6" borderId="9" xfId="0" applyNumberFormat="1" applyFont="1" applyFill="1" applyBorder="1"/>
    <xf numFmtId="2" fontId="6" fillId="6" borderId="10" xfId="0" applyNumberFormat="1" applyFont="1" applyFill="1" applyBorder="1"/>
    <xf numFmtId="0" fontId="6" fillId="2" borderId="0" xfId="0" applyFont="1" applyFill="1" applyAlignment="1">
      <alignment textRotation="45"/>
    </xf>
    <xf numFmtId="0" fontId="6" fillId="5" borderId="24" xfId="0" applyFont="1" applyFill="1" applyBorder="1"/>
    <xf numFmtId="0" fontId="8" fillId="5" borderId="4" xfId="0" applyFont="1" applyFill="1" applyBorder="1"/>
    <xf numFmtId="2" fontId="6" fillId="5" borderId="5" xfId="0" applyNumberFormat="1" applyFont="1" applyFill="1" applyBorder="1"/>
    <xf numFmtId="2" fontId="6" fillId="5" borderId="6" xfId="0" applyNumberFormat="1" applyFont="1" applyFill="1" applyBorder="1"/>
    <xf numFmtId="0" fontId="12" fillId="2" borderId="0" xfId="0" applyFont="1" applyFill="1"/>
    <xf numFmtId="0" fontId="8" fillId="5" borderId="23" xfId="0" applyFont="1" applyFill="1" applyBorder="1"/>
    <xf numFmtId="0" fontId="8" fillId="5" borderId="24" xfId="0" applyFont="1" applyFill="1" applyBorder="1"/>
    <xf numFmtId="0" fontId="8" fillId="5" borderId="3" xfId="0" applyFont="1" applyFill="1" applyBorder="1"/>
    <xf numFmtId="0" fontId="8" fillId="5" borderId="18" xfId="0" applyFont="1" applyFill="1" applyBorder="1"/>
    <xf numFmtId="0" fontId="8" fillId="5" borderId="50" xfId="0" applyFont="1" applyFill="1" applyBorder="1"/>
    <xf numFmtId="0" fontId="6" fillId="5" borderId="52" xfId="0" applyFont="1" applyFill="1" applyBorder="1"/>
    <xf numFmtId="0" fontId="6" fillId="5" borderId="53" xfId="0" applyFont="1" applyFill="1" applyBorder="1"/>
    <xf numFmtId="0" fontId="6" fillId="5" borderId="54" xfId="0" applyFont="1" applyFill="1" applyBorder="1"/>
    <xf numFmtId="0" fontId="6" fillId="5" borderId="55" xfId="0" applyFont="1" applyFill="1" applyBorder="1"/>
    <xf numFmtId="0" fontId="8" fillId="5" borderId="48" xfId="0" applyFont="1" applyFill="1" applyBorder="1"/>
    <xf numFmtId="0" fontId="6" fillId="5" borderId="48" xfId="0" applyFont="1" applyFill="1" applyBorder="1"/>
    <xf numFmtId="0" fontId="6" fillId="6" borderId="23" xfId="0" applyFont="1" applyFill="1" applyBorder="1"/>
    <xf numFmtId="0" fontId="6" fillId="6" borderId="24" xfId="0" applyFont="1" applyFill="1" applyBorder="1"/>
    <xf numFmtId="0" fontId="6" fillId="6" borderId="48" xfId="0" applyFont="1" applyFill="1" applyBorder="1"/>
    <xf numFmtId="0" fontId="8" fillId="5" borderId="6" xfId="0" applyFont="1" applyFill="1" applyBorder="1"/>
    <xf numFmtId="0" fontId="8" fillId="5" borderId="7" xfId="0" applyFont="1" applyFill="1" applyBorder="1"/>
    <xf numFmtId="2" fontId="6" fillId="6" borderId="8" xfId="1" applyNumberFormat="1" applyFont="1" applyFill="1" applyBorder="1" applyAlignment="1">
      <alignment horizontal="center"/>
    </xf>
    <xf numFmtId="2" fontId="8" fillId="5" borderId="4" xfId="0" applyNumberFormat="1" applyFont="1" applyFill="1" applyBorder="1" applyAlignment="1">
      <alignment horizontal="center"/>
    </xf>
    <xf numFmtId="2" fontId="8" fillId="5" borderId="6" xfId="0" applyNumberFormat="1" applyFont="1" applyFill="1" applyBorder="1" applyAlignment="1">
      <alignment horizontal="center"/>
    </xf>
    <xf numFmtId="2" fontId="8" fillId="5" borderId="3" xfId="0" applyNumberFormat="1" applyFont="1" applyFill="1" applyBorder="1" applyAlignment="1">
      <alignment horizontal="center"/>
    </xf>
    <xf numFmtId="2" fontId="8" fillId="5" borderId="3" xfId="1" applyNumberFormat="1" applyFont="1" applyFill="1" applyBorder="1" applyAlignment="1">
      <alignment horizontal="center"/>
    </xf>
    <xf numFmtId="0" fontId="6" fillId="6" borderId="32" xfId="0" applyFont="1" applyFill="1" applyBorder="1"/>
    <xf numFmtId="0" fontId="12" fillId="7" borderId="3" xfId="0" applyFont="1" applyFill="1" applyBorder="1" applyAlignment="1">
      <alignment horizontal="center" vertical="center" wrapText="1" readingOrder="1"/>
    </xf>
    <xf numFmtId="0" fontId="12" fillId="7"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shrinkToFit="1" readingOrder="1"/>
    </xf>
    <xf numFmtId="0" fontId="13" fillId="10" borderId="20" xfId="0" applyFont="1" applyFill="1" applyBorder="1" applyAlignment="1">
      <alignment horizontal="center" vertical="center" wrapText="1" shrinkToFit="1" readingOrder="1"/>
    </xf>
    <xf numFmtId="0" fontId="13" fillId="11" borderId="20" xfId="0" applyFont="1" applyFill="1" applyBorder="1" applyAlignment="1">
      <alignment horizontal="center" vertical="center" wrapText="1" shrinkToFit="1" readingOrder="1"/>
    </xf>
    <xf numFmtId="0" fontId="13" fillId="9" borderId="20" xfId="0" applyFont="1" applyFill="1" applyBorder="1" applyAlignment="1">
      <alignment vertical="center" wrapText="1" shrinkToFit="1" readingOrder="1"/>
    </xf>
    <xf numFmtId="0" fontId="13" fillId="12" borderId="20" xfId="0" applyFont="1" applyFill="1" applyBorder="1" applyAlignment="1">
      <alignment vertical="center" wrapText="1" shrinkToFit="1" readingOrder="1"/>
    </xf>
    <xf numFmtId="0" fontId="13" fillId="13" borderId="20" xfId="0" applyFont="1" applyFill="1" applyBorder="1" applyAlignment="1">
      <alignment vertical="center" wrapText="1" shrinkToFit="1" readingOrder="1"/>
    </xf>
    <xf numFmtId="0" fontId="13" fillId="14" borderId="20" xfId="0" applyFont="1" applyFill="1" applyBorder="1" applyAlignment="1">
      <alignment vertical="center" wrapText="1" shrinkToFit="1" readingOrder="1"/>
    </xf>
    <xf numFmtId="0" fontId="12" fillId="0" borderId="0" xfId="0" applyFont="1" applyAlignment="1">
      <alignment vertical="center"/>
    </xf>
    <xf numFmtId="0" fontId="6" fillId="2" borderId="0" xfId="0" applyFont="1" applyFill="1" applyAlignment="1">
      <alignment vertical="center"/>
    </xf>
    <xf numFmtId="0" fontId="7" fillId="2" borderId="16" xfId="0" applyFont="1" applyFill="1" applyBorder="1" applyAlignment="1">
      <alignment horizontal="right"/>
    </xf>
    <xf numFmtId="0" fontId="7" fillId="2" borderId="0" xfId="0" applyFont="1" applyFill="1" applyAlignment="1">
      <alignment horizontal="right"/>
    </xf>
    <xf numFmtId="0" fontId="8" fillId="2" borderId="0" xfId="0" applyFont="1" applyFill="1" applyAlignment="1">
      <alignment horizontal="right"/>
    </xf>
    <xf numFmtId="0" fontId="7" fillId="2" borderId="16" xfId="0" applyFont="1" applyFill="1" applyBorder="1"/>
    <xf numFmtId="0" fontId="7" fillId="2" borderId="0" xfId="0" applyFont="1" applyFill="1"/>
    <xf numFmtId="0" fontId="7" fillId="0" borderId="11"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38" xfId="0" applyFont="1" applyFill="1" applyBorder="1" applyAlignment="1">
      <alignment horizontal="center" vertical="center"/>
    </xf>
    <xf numFmtId="0" fontId="12" fillId="7" borderId="20" xfId="0" applyFont="1" applyFill="1" applyBorder="1" applyAlignment="1">
      <alignment horizontal="center" vertical="center" wrapText="1" shrinkToFit="1" readingOrder="1"/>
    </xf>
    <xf numFmtId="0" fontId="13" fillId="9" borderId="20" xfId="0" applyFont="1" applyFill="1" applyBorder="1" applyAlignment="1">
      <alignment horizontal="center" vertical="center" wrapText="1" shrinkToFit="1" readingOrder="1"/>
    </xf>
    <xf numFmtId="0" fontId="13" fillId="12" borderId="20" xfId="0" applyFont="1" applyFill="1" applyBorder="1" applyAlignment="1">
      <alignment horizontal="center" vertical="center" wrapText="1" shrinkToFit="1" readingOrder="1"/>
    </xf>
    <xf numFmtId="0" fontId="13" fillId="13" borderId="20" xfId="0" applyFont="1" applyFill="1" applyBorder="1" applyAlignment="1">
      <alignment horizontal="center" vertical="center" wrapText="1" shrinkToFit="1" readingOrder="1"/>
    </xf>
    <xf numFmtId="0" fontId="13" fillId="14" borderId="20" xfId="0" applyFont="1" applyFill="1" applyBorder="1" applyAlignment="1">
      <alignment horizontal="center" vertical="center" wrapText="1" shrinkToFit="1" readingOrder="1"/>
    </xf>
    <xf numFmtId="0" fontId="12" fillId="7" borderId="3" xfId="0" applyFont="1" applyFill="1" applyBorder="1" applyAlignment="1">
      <alignment horizontal="center" vertical="center" wrapText="1" shrinkToFit="1" readingOrder="1"/>
    </xf>
    <xf numFmtId="0" fontId="9" fillId="0" borderId="41" xfId="0" applyFont="1" applyBorder="1" applyAlignment="1" applyProtection="1">
      <alignment vertical="center"/>
      <protection locked="0"/>
    </xf>
    <xf numFmtId="0" fontId="9" fillId="0" borderId="41" xfId="0" applyFont="1" applyBorder="1" applyAlignment="1" applyProtection="1">
      <alignment vertical="center" wrapText="1"/>
      <protection locked="0"/>
    </xf>
    <xf numFmtId="14" fontId="9" fillId="0" borderId="41" xfId="0" applyNumberFormat="1" applyFont="1" applyBorder="1" applyAlignment="1" applyProtection="1">
      <alignment vertical="center"/>
      <protection locked="0"/>
    </xf>
    <xf numFmtId="0" fontId="9" fillId="0" borderId="56" xfId="0" applyFont="1" applyBorder="1" applyAlignment="1" applyProtection="1">
      <alignment vertical="center" wrapText="1"/>
      <protection locked="0"/>
    </xf>
    <xf numFmtId="0" fontId="16" fillId="0" borderId="0" xfId="0" applyFont="1" applyAlignment="1">
      <alignment horizontal="left" vertical="center"/>
    </xf>
    <xf numFmtId="0" fontId="18" fillId="0" borderId="0" xfId="0" applyFont="1"/>
    <xf numFmtId="0" fontId="0" fillId="0" borderId="0" xfId="0" applyAlignment="1">
      <alignment horizontal="left" vertical="center" indent="5"/>
    </xf>
    <xf numFmtId="0" fontId="0" fillId="0" borderId="0" xfId="0" applyAlignment="1">
      <alignment vertical="center"/>
    </xf>
    <xf numFmtId="0" fontId="0" fillId="0" borderId="0" xfId="0" applyAlignment="1">
      <alignment vertical="top"/>
    </xf>
    <xf numFmtId="0" fontId="4" fillId="7" borderId="18" xfId="0" applyFont="1" applyFill="1" applyBorder="1" applyProtection="1">
      <protection locked="0"/>
    </xf>
    <xf numFmtId="0" fontId="0" fillId="0" borderId="0" xfId="0" applyProtection="1">
      <protection locked="0"/>
    </xf>
    <xf numFmtId="0" fontId="0" fillId="2" borderId="16" xfId="0" applyFill="1" applyBorder="1" applyProtection="1">
      <protection locked="0"/>
    </xf>
    <xf numFmtId="0" fontId="0" fillId="2" borderId="0" xfId="0" applyFill="1" applyProtection="1">
      <protection locked="0"/>
    </xf>
    <xf numFmtId="0" fontId="1" fillId="2" borderId="0" xfId="0" applyFont="1" applyFill="1" applyAlignment="1" applyProtection="1">
      <alignment horizontal="right"/>
      <protection locked="0"/>
    </xf>
    <xf numFmtId="0" fontId="1" fillId="14" borderId="3" xfId="0" applyFont="1" applyFill="1" applyBorder="1" applyAlignment="1" applyProtection="1">
      <alignment horizontal="center" wrapText="1"/>
      <protection locked="0"/>
    </xf>
    <xf numFmtId="0" fontId="0" fillId="0" borderId="16" xfId="0" applyBorder="1" applyProtection="1">
      <protection locked="0"/>
    </xf>
    <xf numFmtId="0" fontId="0" fillId="0" borderId="44" xfId="0" applyBorder="1" applyAlignment="1" applyProtection="1">
      <alignment horizontal="left"/>
      <protection locked="0"/>
    </xf>
    <xf numFmtId="0" fontId="0" fillId="0" borderId="36" xfId="0" applyBorder="1" applyProtection="1">
      <protection locked="0"/>
    </xf>
    <xf numFmtId="0" fontId="0" fillId="0" borderId="40" xfId="0" applyBorder="1" applyProtection="1">
      <protection locked="0"/>
    </xf>
    <xf numFmtId="0" fontId="0" fillId="0" borderId="45" xfId="0" applyBorder="1" applyAlignment="1" applyProtection="1">
      <alignment horizontal="left"/>
      <protection locked="0"/>
    </xf>
    <xf numFmtId="0" fontId="0" fillId="0" borderId="2" xfId="0" applyBorder="1" applyProtection="1">
      <protection locked="0"/>
    </xf>
    <xf numFmtId="0" fontId="0" fillId="0" borderId="39" xfId="0" applyBorder="1" applyProtection="1">
      <protection locked="0"/>
    </xf>
    <xf numFmtId="0" fontId="0" fillId="0" borderId="45" xfId="0" applyBorder="1" applyAlignment="1" applyProtection="1">
      <alignment horizontal="left" vertical="center"/>
      <protection locked="0"/>
    </xf>
    <xf numFmtId="0" fontId="0" fillId="0" borderId="38" xfId="0" applyBorder="1" applyProtection="1">
      <protection locked="0"/>
    </xf>
    <xf numFmtId="0" fontId="0" fillId="0" borderId="36" xfId="0" applyBorder="1" applyAlignment="1" applyProtection="1">
      <alignment horizontal="left"/>
      <protection locked="0"/>
    </xf>
    <xf numFmtId="0" fontId="0" fillId="0" borderId="39" xfId="0" applyBorder="1" applyAlignment="1" applyProtection="1">
      <alignment horizontal="left"/>
      <protection locked="0"/>
    </xf>
    <xf numFmtId="14" fontId="0" fillId="0" borderId="1" xfId="0" applyNumberFormat="1" applyBorder="1" applyProtection="1">
      <protection locked="0"/>
    </xf>
    <xf numFmtId="14" fontId="0" fillId="0" borderId="9" xfId="0" applyNumberFormat="1" applyBorder="1" applyProtection="1">
      <protection locked="0"/>
    </xf>
    <xf numFmtId="14" fontId="0" fillId="0" borderId="41" xfId="0" applyNumberFormat="1" applyBorder="1" applyProtection="1">
      <protection locked="0"/>
    </xf>
    <xf numFmtId="0" fontId="16"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8" fillId="0" borderId="0" xfId="0" applyFont="1" applyAlignment="1" applyProtection="1">
      <alignment vertical="center"/>
      <protection locked="0"/>
    </xf>
    <xf numFmtId="0" fontId="18" fillId="0" borderId="0" xfId="0" applyFont="1" applyProtection="1">
      <protection locked="0"/>
    </xf>
    <xf numFmtId="0" fontId="17" fillId="0" borderId="0" xfId="0" applyFont="1" applyProtection="1">
      <protection locked="0"/>
    </xf>
    <xf numFmtId="0" fontId="1" fillId="0" borderId="0" xfId="0" applyFont="1" applyProtection="1">
      <protection locked="0"/>
    </xf>
    <xf numFmtId="0" fontId="19" fillId="0" borderId="0" xfId="0" applyFont="1" applyProtection="1">
      <protection locked="0"/>
    </xf>
    <xf numFmtId="0" fontId="0" fillId="0" borderId="8" xfId="0" applyBorder="1" applyProtection="1">
      <protection locked="0"/>
    </xf>
    <xf numFmtId="0" fontId="0" fillId="0" borderId="11" xfId="0" applyBorder="1" applyProtection="1">
      <protection locked="0"/>
    </xf>
    <xf numFmtId="0" fontId="0" fillId="0" borderId="21" xfId="0" applyBorder="1" applyProtection="1">
      <protection locked="0"/>
    </xf>
    <xf numFmtId="0" fontId="0" fillId="0" borderId="10" xfId="0" applyBorder="1" applyProtection="1">
      <protection locked="0"/>
    </xf>
    <xf numFmtId="0" fontId="0" fillId="0" borderId="22" xfId="0" applyBorder="1" applyProtection="1">
      <protection locked="0"/>
    </xf>
    <xf numFmtId="0" fontId="0" fillId="0" borderId="29" xfId="0" applyBorder="1" applyProtection="1">
      <protection locked="0"/>
    </xf>
    <xf numFmtId="0" fontId="0" fillId="0" borderId="28" xfId="0" applyBorder="1" applyProtection="1">
      <protection locked="0"/>
    </xf>
    <xf numFmtId="0" fontId="0" fillId="0" borderId="43" xfId="0" applyBorder="1" applyProtection="1">
      <protection locked="0"/>
    </xf>
    <xf numFmtId="0" fontId="0" fillId="0" borderId="47" xfId="0" applyBorder="1" applyProtection="1">
      <protection locked="0"/>
    </xf>
    <xf numFmtId="0" fontId="0" fillId="0" borderId="1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2" xfId="0" applyBorder="1" applyProtection="1">
      <protection locked="0"/>
    </xf>
    <xf numFmtId="0" fontId="0" fillId="0" borderId="30" xfId="0" applyBorder="1" applyProtection="1">
      <protection locked="0"/>
    </xf>
    <xf numFmtId="0" fontId="0" fillId="0" borderId="33" xfId="0" applyBorder="1" applyProtection="1">
      <protection locked="0"/>
    </xf>
    <xf numFmtId="0" fontId="0" fillId="0" borderId="25" xfId="0" applyBorder="1" applyProtection="1">
      <protection locked="0"/>
    </xf>
    <xf numFmtId="0" fontId="0" fillId="0" borderId="12" xfId="0" applyBorder="1" applyAlignment="1" applyProtection="1">
      <alignment vertical="center"/>
      <protection locked="0"/>
    </xf>
    <xf numFmtId="0" fontId="0" fillId="0" borderId="11" xfId="0" applyBorder="1" applyAlignment="1" applyProtection="1">
      <alignment vertical="center"/>
      <protection locked="0"/>
    </xf>
    <xf numFmtId="15" fontId="0" fillId="0" borderId="12" xfId="0" applyNumberFormat="1" applyBorder="1" applyProtection="1">
      <protection locked="0"/>
    </xf>
    <xf numFmtId="0" fontId="0" fillId="0" borderId="34" xfId="0" applyBorder="1" applyProtection="1">
      <protection locked="0"/>
    </xf>
    <xf numFmtId="0" fontId="0" fillId="0" borderId="24" xfId="0" applyBorder="1" applyProtection="1">
      <protection locked="0"/>
    </xf>
    <xf numFmtId="0" fontId="1" fillId="0" borderId="1" xfId="0" applyFont="1" applyBorder="1" applyProtection="1">
      <protection locked="0"/>
    </xf>
    <xf numFmtId="0" fontId="1" fillId="0" borderId="12" xfId="0" applyFont="1"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49" xfId="0" applyBorder="1" applyProtection="1">
      <protection locked="0"/>
    </xf>
    <xf numFmtId="0" fontId="0" fillId="0" borderId="48" xfId="0" applyBorder="1" applyProtection="1">
      <protection locked="0"/>
    </xf>
    <xf numFmtId="14" fontId="6" fillId="0" borderId="39" xfId="0" applyNumberFormat="1" applyFont="1" applyBorder="1" applyAlignment="1" applyProtection="1">
      <alignment vertical="center"/>
      <protection locked="0"/>
    </xf>
    <xf numFmtId="14" fontId="9" fillId="0" borderId="39" xfId="0" applyNumberFormat="1" applyFont="1" applyBorder="1" applyAlignment="1" applyProtection="1">
      <alignment vertical="center"/>
      <protection locked="0"/>
    </xf>
    <xf numFmtId="14" fontId="9" fillId="0" borderId="2" xfId="0" applyNumberFormat="1" applyFont="1" applyBorder="1" applyAlignment="1" applyProtection="1">
      <alignment vertical="center"/>
      <protection locked="0"/>
    </xf>
    <xf numFmtId="0" fontId="9" fillId="4" borderId="11" xfId="0" applyFont="1" applyFill="1" applyBorder="1" applyAlignment="1" applyProtection="1">
      <alignment vertical="center"/>
      <protection locked="0"/>
    </xf>
    <xf numFmtId="0" fontId="9" fillId="4" borderId="12" xfId="0" applyFont="1" applyFill="1" applyBorder="1" applyAlignment="1" applyProtection="1">
      <alignment vertical="center"/>
      <protection locked="0"/>
    </xf>
    <xf numFmtId="0" fontId="9" fillId="4" borderId="11" xfId="0" applyFont="1" applyFill="1" applyBorder="1" applyAlignment="1" applyProtection="1">
      <alignment vertical="center" wrapText="1"/>
      <protection locked="0"/>
    </xf>
    <xf numFmtId="0" fontId="9" fillId="4" borderId="12" xfId="0" applyFont="1" applyFill="1" applyBorder="1" applyAlignment="1" applyProtection="1">
      <alignment vertical="center" wrapText="1"/>
      <protection locked="0"/>
    </xf>
    <xf numFmtId="0" fontId="9" fillId="0" borderId="11"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9" fillId="0" borderId="11"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0" fontId="9" fillId="0" borderId="21" xfId="0" applyFont="1" applyBorder="1" applyAlignment="1" applyProtection="1">
      <alignment vertical="center"/>
      <protection locked="0"/>
    </xf>
    <xf numFmtId="0" fontId="9" fillId="0" borderId="42" xfId="0" applyFont="1" applyBorder="1" applyAlignment="1" applyProtection="1">
      <alignment vertical="center"/>
      <protection locked="0"/>
    </xf>
    <xf numFmtId="0" fontId="9" fillId="0" borderId="21" xfId="0" applyFont="1" applyBorder="1" applyAlignment="1" applyProtection="1">
      <alignment vertical="center" wrapText="1"/>
      <protection locked="0"/>
    </xf>
    <xf numFmtId="0" fontId="9" fillId="0" borderId="42" xfId="0" applyFont="1" applyBorder="1" applyAlignment="1" applyProtection="1">
      <alignment vertical="center" wrapText="1"/>
      <protection locked="0"/>
    </xf>
    <xf numFmtId="0" fontId="0" fillId="0" borderId="28" xfId="0" applyBorder="1"/>
    <xf numFmtId="0" fontId="0" fillId="0" borderId="27" xfId="0" applyBorder="1"/>
    <xf numFmtId="0" fontId="0" fillId="0" borderId="26" xfId="0" applyBorder="1"/>
    <xf numFmtId="0" fontId="0" fillId="0" borderId="16" xfId="0" applyBorder="1"/>
    <xf numFmtId="0" fontId="0" fillId="0" borderId="43" xfId="0" applyBorder="1"/>
    <xf numFmtId="0" fontId="17" fillId="0" borderId="0" xfId="0" applyFont="1" applyAlignment="1">
      <alignment horizontal="left" vertical="center"/>
    </xf>
    <xf numFmtId="0" fontId="17" fillId="0" borderId="0" xfId="0" applyFont="1"/>
    <xf numFmtId="0" fontId="1" fillId="0" borderId="0" xfId="0" applyFont="1"/>
    <xf numFmtId="0" fontId="19" fillId="0" borderId="0" xfId="0" applyFont="1"/>
    <xf numFmtId="0" fontId="0" fillId="0" borderId="50" xfId="0" applyBorder="1"/>
    <xf numFmtId="0" fontId="0" fillId="0" borderId="17" xfId="0" applyBorder="1"/>
    <xf numFmtId="0" fontId="0" fillId="0" borderId="51" xfId="0" applyBorder="1"/>
    <xf numFmtId="0" fontId="6" fillId="2" borderId="0" xfId="0" applyFont="1" applyFill="1" applyAlignment="1">
      <alignment horizontal="center"/>
    </xf>
    <xf numFmtId="0" fontId="6" fillId="0" borderId="0" xfId="0" applyFont="1" applyAlignment="1">
      <alignment horizontal="center"/>
    </xf>
    <xf numFmtId="0" fontId="13" fillId="18" borderId="20" xfId="0" applyFont="1" applyFill="1" applyBorder="1" applyAlignment="1">
      <alignment horizontal="center" vertical="center" wrapText="1" shrinkToFit="1" readingOrder="1"/>
    </xf>
    <xf numFmtId="0" fontId="9" fillId="0" borderId="15"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15"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8" fillId="12" borderId="26" xfId="0" applyFont="1" applyFill="1" applyBorder="1" applyAlignment="1">
      <alignment horizontal="center"/>
    </xf>
    <xf numFmtId="0" fontId="8" fillId="12" borderId="3" xfId="0" applyFont="1" applyFill="1" applyBorder="1" applyAlignment="1">
      <alignment horizontal="center"/>
    </xf>
    <xf numFmtId="0" fontId="8" fillId="5" borderId="3" xfId="0" applyFont="1" applyFill="1" applyBorder="1" applyAlignment="1">
      <alignment horizontal="center"/>
    </xf>
    <xf numFmtId="0" fontId="23" fillId="0" borderId="18" xfId="0" applyFont="1" applyBorder="1" applyAlignment="1">
      <alignment horizontal="center" vertical="center" textRotation="90"/>
    </xf>
    <xf numFmtId="0" fontId="23" fillId="0" borderId="5" xfId="0" applyFont="1" applyBorder="1" applyAlignment="1">
      <alignment horizontal="center" vertical="center"/>
    </xf>
    <xf numFmtId="0" fontId="23" fillId="0" borderId="5" xfId="0" applyFont="1" applyBorder="1" applyAlignment="1">
      <alignment horizontal="center" vertical="center" wrapText="1"/>
    </xf>
    <xf numFmtId="0" fontId="2" fillId="2" borderId="0" xfId="0" applyFont="1" applyFill="1" applyAlignment="1" applyProtection="1">
      <alignment horizontal="center"/>
      <protection locked="0"/>
    </xf>
    <xf numFmtId="0" fontId="0" fillId="2" borderId="0" xfId="0" applyFill="1" applyAlignment="1" applyProtection="1">
      <alignment horizontal="center"/>
      <protection locked="0"/>
    </xf>
    <xf numFmtId="15"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6" fillId="6" borderId="28" xfId="0" applyFont="1" applyFill="1" applyBorder="1"/>
    <xf numFmtId="2" fontId="6" fillId="6" borderId="28" xfId="1" applyNumberFormat="1" applyFont="1" applyFill="1" applyBorder="1" applyAlignment="1">
      <alignment horizontal="center"/>
    </xf>
    <xf numFmtId="2" fontId="8" fillId="5" borderId="7" xfId="0" applyNumberFormat="1" applyFont="1" applyFill="1" applyBorder="1" applyAlignment="1">
      <alignment horizontal="center"/>
    </xf>
    <xf numFmtId="0" fontId="0" fillId="0" borderId="45" xfId="0" applyBorder="1" applyProtection="1">
      <protection locked="0"/>
    </xf>
    <xf numFmtId="0" fontId="0" fillId="0" borderId="45" xfId="0" applyBorder="1" applyAlignment="1" applyProtection="1">
      <alignment vertical="center"/>
      <protection locked="0"/>
    </xf>
    <xf numFmtId="0" fontId="0" fillId="0" borderId="58" xfId="0" applyBorder="1" applyProtection="1">
      <protection locked="0"/>
    </xf>
    <xf numFmtId="0" fontId="6" fillId="6" borderId="57" xfId="0" applyFont="1" applyFill="1" applyBorder="1"/>
    <xf numFmtId="0" fontId="13" fillId="10" borderId="3" xfId="0" applyFont="1" applyFill="1" applyBorder="1" applyAlignment="1">
      <alignment horizontal="center" vertical="center" wrapText="1" shrinkToFit="1" readingOrder="1"/>
    </xf>
    <xf numFmtId="0" fontId="6" fillId="6" borderId="34" xfId="0" applyFont="1" applyFill="1" applyBorder="1"/>
    <xf numFmtId="0" fontId="6" fillId="6" borderId="49" xfId="0" applyFont="1" applyFill="1" applyBorder="1"/>
    <xf numFmtId="0" fontId="6" fillId="5" borderId="59" xfId="0" applyFont="1" applyFill="1" applyBorder="1"/>
    <xf numFmtId="0" fontId="6" fillId="5" borderId="31" xfId="0" applyFont="1" applyFill="1" applyBorder="1"/>
    <xf numFmtId="0" fontId="13" fillId="11" borderId="26" xfId="0" applyFont="1" applyFill="1" applyBorder="1" applyAlignment="1">
      <alignment horizontal="center" vertical="center" wrapText="1" shrinkToFit="1" readingOrder="1"/>
    </xf>
    <xf numFmtId="0" fontId="6" fillId="6" borderId="47" xfId="0" applyFont="1" applyFill="1" applyBorder="1"/>
    <xf numFmtId="2" fontId="6" fillId="6" borderId="37" xfId="0" applyNumberFormat="1" applyFont="1" applyFill="1" applyBorder="1"/>
    <xf numFmtId="0" fontId="6" fillId="0" borderId="3" xfId="0" applyFont="1" applyBorder="1" applyProtection="1">
      <protection locked="0"/>
    </xf>
    <xf numFmtId="2" fontId="6" fillId="5" borderId="35" xfId="0" applyNumberFormat="1" applyFont="1" applyFill="1" applyBorder="1"/>
    <xf numFmtId="164" fontId="0" fillId="0" borderId="28" xfId="0" applyNumberFormat="1" applyBorder="1"/>
    <xf numFmtId="164" fontId="0" fillId="0" borderId="16" xfId="0" applyNumberFormat="1" applyBorder="1"/>
    <xf numFmtId="164" fontId="0" fillId="0" borderId="50" xfId="0" applyNumberFormat="1" applyBorder="1"/>
    <xf numFmtId="0" fontId="0" fillId="0" borderId="60" xfId="0" applyBorder="1" applyAlignment="1" applyProtection="1">
      <alignment horizontal="center" vertical="center"/>
      <protection locked="0"/>
    </xf>
    <xf numFmtId="0" fontId="0" fillId="0" borderId="61" xfId="0" applyBorder="1" applyProtection="1">
      <protection locked="0"/>
    </xf>
    <xf numFmtId="0" fontId="0" fillId="0" borderId="46" xfId="0" applyBorder="1" applyProtection="1">
      <protection locked="0"/>
    </xf>
    <xf numFmtId="0" fontId="23" fillId="0" borderId="3" xfId="0" applyFont="1" applyBorder="1" applyAlignment="1">
      <alignment horizontal="center" vertical="center" textRotation="90"/>
    </xf>
    <xf numFmtId="0" fontId="6" fillId="0" borderId="16" xfId="0" applyFont="1" applyBorder="1"/>
    <xf numFmtId="0" fontId="12" fillId="2" borderId="43" xfId="0" applyFont="1" applyFill="1" applyBorder="1"/>
    <xf numFmtId="0" fontId="6" fillId="2" borderId="43" xfId="0" applyFont="1" applyFill="1" applyBorder="1" applyAlignment="1">
      <alignment textRotation="45"/>
    </xf>
    <xf numFmtId="0" fontId="0" fillId="0" borderId="62"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6" xfId="0" applyBorder="1" applyProtection="1">
      <protection locked="0"/>
    </xf>
    <xf numFmtId="0" fontId="13" fillId="20" borderId="20" xfId="0" applyFont="1" applyFill="1" applyBorder="1" applyAlignment="1">
      <alignment horizontal="center" vertical="center" wrapText="1" shrinkToFit="1" readingOrder="1"/>
    </xf>
    <xf numFmtId="0" fontId="13" fillId="20" borderId="20" xfId="0" applyFont="1" applyFill="1" applyBorder="1" applyAlignment="1">
      <alignment vertical="center" wrapText="1" shrinkToFit="1" readingOrder="1"/>
    </xf>
    <xf numFmtId="0" fontId="1" fillId="20" borderId="19" xfId="0" applyFont="1" applyFill="1" applyBorder="1" applyAlignment="1" applyProtection="1">
      <alignment horizontal="center" wrapText="1"/>
      <protection locked="0"/>
    </xf>
    <xf numFmtId="0" fontId="1" fillId="9" borderId="18" xfId="0" applyFont="1" applyFill="1" applyBorder="1" applyAlignment="1" applyProtection="1">
      <alignment horizontal="center" wrapText="1"/>
      <protection locked="0"/>
    </xf>
    <xf numFmtId="0" fontId="1" fillId="9" borderId="19" xfId="0" applyFont="1" applyFill="1" applyBorder="1" applyAlignment="1" applyProtection="1">
      <alignment horizontal="center" wrapText="1"/>
      <protection locked="0"/>
    </xf>
    <xf numFmtId="0" fontId="1" fillId="12" borderId="18" xfId="0" applyFont="1" applyFill="1" applyBorder="1" applyAlignment="1" applyProtection="1">
      <alignment horizontal="center" wrapText="1"/>
      <protection locked="0"/>
    </xf>
    <xf numFmtId="0" fontId="1" fillId="12" borderId="19" xfId="0" applyFont="1" applyFill="1" applyBorder="1" applyAlignment="1" applyProtection="1">
      <alignment horizontal="center" wrapText="1"/>
      <protection locked="0"/>
    </xf>
    <xf numFmtId="0" fontId="1" fillId="12" borderId="7" xfId="0" applyFont="1" applyFill="1" applyBorder="1" applyAlignment="1" applyProtection="1">
      <alignment horizontal="center" wrapText="1"/>
      <protection locked="0"/>
    </xf>
    <xf numFmtId="0" fontId="15" fillId="11" borderId="27" xfId="0" applyFont="1" applyFill="1" applyBorder="1" applyAlignment="1" applyProtection="1">
      <alignment horizontal="center" wrapText="1"/>
      <protection locked="0"/>
    </xf>
    <xf numFmtId="0" fontId="0" fillId="0" borderId="26"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51"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0" xfId="0" applyAlignment="1" applyProtection="1">
      <alignment horizontal="center"/>
      <protection locked="0"/>
    </xf>
    <xf numFmtId="0" fontId="0" fillId="0" borderId="50" xfId="0" applyBorder="1" applyAlignment="1" applyProtection="1">
      <alignment horizontal="center"/>
      <protection locked="0"/>
    </xf>
    <xf numFmtId="0" fontId="0" fillId="0" borderId="17" xfId="0" applyBorder="1" applyAlignment="1" applyProtection="1">
      <alignment horizontal="center"/>
      <protection locked="0"/>
    </xf>
    <xf numFmtId="0" fontId="1" fillId="13" borderId="18" xfId="0" applyFont="1" applyFill="1" applyBorder="1" applyAlignment="1" applyProtection="1">
      <alignment horizontal="center" wrapText="1"/>
      <protection locked="0"/>
    </xf>
    <xf numFmtId="0" fontId="1" fillId="13" borderId="7" xfId="0" applyFont="1" applyFill="1" applyBorder="1" applyAlignment="1" applyProtection="1">
      <alignment horizontal="center" wrapText="1"/>
      <protection locked="0"/>
    </xf>
    <xf numFmtId="0" fontId="1" fillId="15" borderId="18" xfId="0" applyFont="1" applyFill="1" applyBorder="1" applyAlignment="1" applyProtection="1">
      <alignment horizontal="center" wrapText="1"/>
      <protection locked="0"/>
    </xf>
    <xf numFmtId="0" fontId="1" fillId="15" borderId="7" xfId="0" applyFont="1" applyFill="1" applyBorder="1" applyAlignment="1" applyProtection="1">
      <alignment horizontal="center" wrapText="1"/>
      <protection locked="0"/>
    </xf>
    <xf numFmtId="0" fontId="10" fillId="7" borderId="19" xfId="0" applyFont="1" applyFill="1" applyBorder="1" applyAlignment="1" applyProtection="1">
      <alignment horizontal="center" vertical="center"/>
      <protection locked="0"/>
    </xf>
    <xf numFmtId="0" fontId="10" fillId="7" borderId="7" xfId="0" applyFont="1" applyFill="1" applyBorder="1" applyAlignment="1" applyProtection="1">
      <alignment horizontal="center" vertical="center"/>
      <protection locked="0"/>
    </xf>
    <xf numFmtId="0" fontId="24" fillId="2" borderId="46" xfId="0" applyFont="1" applyFill="1" applyBorder="1" applyAlignment="1" applyProtection="1">
      <alignment horizontal="left"/>
      <protection locked="0"/>
    </xf>
    <xf numFmtId="0" fontId="24" fillId="2" borderId="45" xfId="0" applyFont="1" applyFill="1" applyBorder="1" applyAlignment="1" applyProtection="1">
      <alignment horizontal="left"/>
      <protection locked="0"/>
    </xf>
    <xf numFmtId="0" fontId="1" fillId="10" borderId="18" xfId="0" applyFont="1" applyFill="1" applyBorder="1" applyAlignment="1" applyProtection="1">
      <alignment horizontal="center"/>
      <protection locked="0"/>
    </xf>
    <xf numFmtId="0" fontId="1" fillId="10" borderId="19" xfId="0" applyFont="1" applyFill="1" applyBorder="1" applyAlignment="1" applyProtection="1">
      <alignment horizontal="center"/>
      <protection locked="0"/>
    </xf>
    <xf numFmtId="0" fontId="1" fillId="10" borderId="7" xfId="0" applyFont="1" applyFill="1" applyBorder="1" applyAlignment="1" applyProtection="1">
      <alignment horizontal="center"/>
      <protection locked="0"/>
    </xf>
    <xf numFmtId="0" fontId="1" fillId="11" borderId="18" xfId="0" applyFont="1" applyFill="1" applyBorder="1" applyAlignment="1" applyProtection="1">
      <alignment horizontal="center"/>
      <protection locked="0"/>
    </xf>
    <xf numFmtId="0" fontId="1" fillId="11" borderId="7" xfId="0" applyFont="1" applyFill="1" applyBorder="1" applyAlignment="1" applyProtection="1">
      <alignment horizontal="center"/>
      <protection locked="0"/>
    </xf>
    <xf numFmtId="0" fontId="1" fillId="8" borderId="18" xfId="0" applyFont="1" applyFill="1" applyBorder="1" applyAlignment="1" applyProtection="1">
      <alignment horizontal="center"/>
      <protection locked="0"/>
    </xf>
    <xf numFmtId="0" fontId="1" fillId="8" borderId="19" xfId="0" applyFont="1" applyFill="1" applyBorder="1" applyAlignment="1" applyProtection="1">
      <alignment horizontal="center"/>
      <protection locked="0"/>
    </xf>
    <xf numFmtId="0" fontId="1" fillId="8" borderId="7" xfId="0" applyFont="1" applyFill="1" applyBorder="1" applyAlignment="1" applyProtection="1">
      <alignment horizontal="center"/>
      <protection locked="0"/>
    </xf>
    <xf numFmtId="0" fontId="10" fillId="7" borderId="18" xfId="0" applyFont="1" applyFill="1" applyBorder="1" applyAlignment="1">
      <alignment horizontal="center"/>
    </xf>
    <xf numFmtId="0" fontId="10" fillId="7" borderId="19" xfId="0" applyFont="1" applyFill="1" applyBorder="1" applyAlignment="1">
      <alignment horizontal="center"/>
    </xf>
    <xf numFmtId="0" fontId="10" fillId="7" borderId="7" xfId="0" applyFont="1" applyFill="1" applyBorder="1" applyAlignment="1">
      <alignment horizontal="center"/>
    </xf>
    <xf numFmtId="0" fontId="13" fillId="16" borderId="18" xfId="0" applyFont="1" applyFill="1" applyBorder="1" applyAlignment="1">
      <alignment horizontal="center"/>
    </xf>
    <xf numFmtId="0" fontId="13" fillId="16" borderId="19" xfId="0" applyFont="1" applyFill="1" applyBorder="1" applyAlignment="1">
      <alignment horizontal="center"/>
    </xf>
    <xf numFmtId="0" fontId="13" fillId="16" borderId="7" xfId="0" applyFont="1" applyFill="1" applyBorder="1" applyAlignment="1">
      <alignment horizontal="center"/>
    </xf>
    <xf numFmtId="0" fontId="8" fillId="16" borderId="18" xfId="0" applyFont="1" applyFill="1" applyBorder="1" applyAlignment="1">
      <alignment horizontal="center"/>
    </xf>
    <xf numFmtId="0" fontId="8" fillId="16" borderId="19" xfId="0" applyFont="1" applyFill="1" applyBorder="1" applyAlignment="1">
      <alignment horizontal="center"/>
    </xf>
    <xf numFmtId="0" fontId="8" fillId="16" borderId="7" xfId="0" applyFont="1" applyFill="1" applyBorder="1" applyAlignment="1">
      <alignment horizontal="center"/>
    </xf>
    <xf numFmtId="0" fontId="10" fillId="0" borderId="0" xfId="0" applyFont="1" applyAlignment="1">
      <alignment horizontal="center"/>
    </xf>
    <xf numFmtId="0" fontId="6" fillId="0" borderId="0" xfId="0" applyFont="1" applyAlignment="1">
      <alignment horizontal="center"/>
    </xf>
    <xf numFmtId="0" fontId="6" fillId="0" borderId="17" xfId="0" applyFont="1" applyBorder="1" applyAlignment="1">
      <alignment horizontal="center"/>
    </xf>
    <xf numFmtId="0" fontId="6" fillId="0" borderId="16" xfId="0" applyFont="1" applyBorder="1" applyAlignment="1">
      <alignment horizontal="center"/>
    </xf>
    <xf numFmtId="0" fontId="6" fillId="0" borderId="50" xfId="0" applyFont="1" applyBorder="1" applyAlignment="1">
      <alignment horizontal="center"/>
    </xf>
    <xf numFmtId="0" fontId="6" fillId="2" borderId="28" xfId="0" applyFont="1" applyFill="1" applyBorder="1" applyAlignment="1">
      <alignment horizontal="center"/>
    </xf>
    <xf numFmtId="0" fontId="6" fillId="2" borderId="27" xfId="0" applyFont="1" applyFill="1" applyBorder="1" applyAlignment="1">
      <alignment horizontal="center"/>
    </xf>
    <xf numFmtId="0" fontId="6" fillId="2" borderId="26" xfId="0" applyFont="1" applyFill="1" applyBorder="1" applyAlignment="1">
      <alignment horizontal="center"/>
    </xf>
    <xf numFmtId="0" fontId="6" fillId="2" borderId="16" xfId="0" applyFont="1" applyFill="1" applyBorder="1" applyAlignment="1">
      <alignment horizontal="center"/>
    </xf>
    <xf numFmtId="0" fontId="6" fillId="2" borderId="0" xfId="0" applyFont="1" applyFill="1" applyAlignment="1">
      <alignment horizontal="center"/>
    </xf>
    <xf numFmtId="0" fontId="6" fillId="2" borderId="43" xfId="0" applyFont="1" applyFill="1" applyBorder="1" applyAlignment="1">
      <alignment horizontal="center"/>
    </xf>
    <xf numFmtId="0" fontId="6" fillId="0" borderId="28" xfId="0" applyFont="1" applyBorder="1" applyAlignment="1">
      <alignment horizontal="center"/>
    </xf>
    <xf numFmtId="0" fontId="6" fillId="0" borderId="27" xfId="0" applyFont="1" applyBorder="1" applyAlignment="1">
      <alignment horizontal="center"/>
    </xf>
    <xf numFmtId="0" fontId="6" fillId="0" borderId="26" xfId="0" applyFont="1" applyBorder="1" applyAlignment="1">
      <alignment horizontal="center"/>
    </xf>
    <xf numFmtId="0" fontId="6" fillId="0" borderId="43" xfId="0" applyFont="1" applyBorder="1" applyAlignment="1">
      <alignment horizontal="center"/>
    </xf>
    <xf numFmtId="0" fontId="6" fillId="0" borderId="51" xfId="0" applyFont="1" applyBorder="1" applyAlignment="1">
      <alignment horizontal="center"/>
    </xf>
    <xf numFmtId="0" fontId="11" fillId="7" borderId="28" xfId="0" applyFont="1" applyFill="1" applyBorder="1" applyAlignment="1">
      <alignment horizontal="center"/>
    </xf>
    <xf numFmtId="0" fontId="11" fillId="7" borderId="27" xfId="0" applyFont="1" applyFill="1" applyBorder="1" applyAlignment="1">
      <alignment horizontal="center"/>
    </xf>
    <xf numFmtId="0" fontId="8" fillId="13" borderId="28" xfId="0" applyFont="1" applyFill="1" applyBorder="1" applyAlignment="1">
      <alignment horizontal="center"/>
    </xf>
    <xf numFmtId="0" fontId="8" fillId="13" borderId="26" xfId="0" applyFont="1" applyFill="1" applyBorder="1" applyAlignment="1">
      <alignment horizontal="center"/>
    </xf>
    <xf numFmtId="0" fontId="8" fillId="14" borderId="28" xfId="0" applyFont="1" applyFill="1" applyBorder="1" applyAlignment="1">
      <alignment horizontal="center" wrapText="1"/>
    </xf>
    <xf numFmtId="0" fontId="8" fillId="14" borderId="26" xfId="0" applyFont="1" applyFill="1" applyBorder="1" applyAlignment="1">
      <alignment horizontal="center" wrapText="1"/>
    </xf>
    <xf numFmtId="0" fontId="6" fillId="2" borderId="46" xfId="0" applyFont="1" applyFill="1" applyBorder="1" applyAlignment="1" applyProtection="1">
      <alignment horizontal="center" vertical="top"/>
      <protection locked="0"/>
    </xf>
    <xf numFmtId="0" fontId="6" fillId="2" borderId="45" xfId="0" applyFont="1" applyFill="1" applyBorder="1" applyAlignment="1">
      <alignment horizontal="center"/>
    </xf>
    <xf numFmtId="0" fontId="14" fillId="11" borderId="0" xfId="0" applyFont="1" applyFill="1" applyAlignment="1">
      <alignment horizontal="center" wrapText="1"/>
    </xf>
    <xf numFmtId="0" fontId="8" fillId="20" borderId="32" xfId="0" applyFont="1" applyFill="1" applyBorder="1" applyAlignment="1">
      <alignment horizontal="center" wrapText="1"/>
    </xf>
    <xf numFmtId="0" fontId="8" fillId="20" borderId="57" xfId="0" applyFont="1" applyFill="1" applyBorder="1" applyAlignment="1">
      <alignment horizontal="center" wrapText="1"/>
    </xf>
    <xf numFmtId="0" fontId="10" fillId="7" borderId="28" xfId="0" applyFont="1" applyFill="1" applyBorder="1" applyAlignment="1">
      <alignment horizontal="center" vertical="center"/>
    </xf>
    <xf numFmtId="0" fontId="10" fillId="7" borderId="27" xfId="0" applyFont="1" applyFill="1" applyBorder="1" applyAlignment="1">
      <alignment horizontal="center" vertical="center"/>
    </xf>
    <xf numFmtId="0" fontId="10" fillId="7" borderId="26" xfId="0" applyFont="1" applyFill="1" applyBorder="1" applyAlignment="1">
      <alignment horizontal="center" vertical="center"/>
    </xf>
    <xf numFmtId="0" fontId="10" fillId="7" borderId="50"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51" xfId="0" applyFont="1" applyFill="1" applyBorder="1" applyAlignment="1">
      <alignment horizontal="center" vertical="center"/>
    </xf>
    <xf numFmtId="0" fontId="8" fillId="13" borderId="18" xfId="0" applyFont="1" applyFill="1" applyBorder="1" applyAlignment="1">
      <alignment horizontal="center"/>
    </xf>
    <xf numFmtId="0" fontId="8" fillId="13" borderId="7" xfId="0" applyFont="1" applyFill="1" applyBorder="1" applyAlignment="1">
      <alignment horizontal="center"/>
    </xf>
    <xf numFmtId="0" fontId="8" fillId="14" borderId="3" xfId="0" applyFont="1" applyFill="1" applyBorder="1" applyAlignment="1">
      <alignment horizontal="center"/>
    </xf>
    <xf numFmtId="0" fontId="8" fillId="5" borderId="20" xfId="0" applyFont="1" applyFill="1" applyBorder="1" applyAlignment="1">
      <alignment horizontal="center" vertical="center"/>
    </xf>
    <xf numFmtId="0" fontId="8" fillId="5" borderId="31" xfId="0" applyFont="1" applyFill="1" applyBorder="1" applyAlignment="1">
      <alignment horizontal="center" vertical="center"/>
    </xf>
    <xf numFmtId="0" fontId="8" fillId="13" borderId="3" xfId="0" applyFont="1" applyFill="1" applyBorder="1" applyAlignment="1">
      <alignment horizontal="center"/>
    </xf>
    <xf numFmtId="0" fontId="8" fillId="17" borderId="18" xfId="0" applyFont="1" applyFill="1" applyBorder="1" applyAlignment="1">
      <alignment horizontal="center"/>
    </xf>
    <xf numFmtId="0" fontId="8" fillId="17" borderId="19" xfId="0" applyFont="1" applyFill="1" applyBorder="1" applyAlignment="1">
      <alignment horizontal="center"/>
    </xf>
    <xf numFmtId="0" fontId="8" fillId="17" borderId="7" xfId="0" applyFont="1" applyFill="1" applyBorder="1" applyAlignment="1">
      <alignment horizontal="center"/>
    </xf>
    <xf numFmtId="0" fontId="8" fillId="20" borderId="28" xfId="0" applyFont="1" applyFill="1" applyBorder="1" applyAlignment="1">
      <alignment horizontal="center"/>
    </xf>
    <xf numFmtId="0" fontId="8" fillId="20" borderId="26" xfId="0" applyFont="1" applyFill="1" applyBorder="1" applyAlignment="1">
      <alignment horizontal="center"/>
    </xf>
    <xf numFmtId="0" fontId="0" fillId="0" borderId="28" xfId="0" applyBorder="1" applyAlignment="1">
      <alignment horizontal="center"/>
    </xf>
    <xf numFmtId="0" fontId="0" fillId="0" borderId="27" xfId="0" applyBorder="1" applyAlignment="1">
      <alignment horizontal="center"/>
    </xf>
    <xf numFmtId="0" fontId="0" fillId="0" borderId="26"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43" xfId="0" applyBorder="1" applyAlignment="1">
      <alignment horizontal="center"/>
    </xf>
    <xf numFmtId="0" fontId="0" fillId="0" borderId="50" xfId="0" applyBorder="1" applyAlignment="1">
      <alignment horizontal="center"/>
    </xf>
    <xf numFmtId="0" fontId="0" fillId="0" borderId="17" xfId="0" applyBorder="1" applyAlignment="1">
      <alignment horizontal="center"/>
    </xf>
    <xf numFmtId="0" fontId="0" fillId="0" borderId="51" xfId="0" applyBorder="1" applyAlignment="1">
      <alignment horizontal="center"/>
    </xf>
    <xf numFmtId="0" fontId="8" fillId="17" borderId="18" xfId="0" applyFont="1" applyFill="1" applyBorder="1" applyAlignment="1">
      <alignment horizontal="center" wrapText="1"/>
    </xf>
    <xf numFmtId="0" fontId="8" fillId="17" borderId="19" xfId="0" applyFont="1" applyFill="1" applyBorder="1" applyAlignment="1">
      <alignment horizontal="center" wrapText="1"/>
    </xf>
    <xf numFmtId="0" fontId="8" fillId="17" borderId="7" xfId="0" applyFont="1" applyFill="1" applyBorder="1" applyAlignment="1">
      <alignment horizontal="center" wrapText="1"/>
    </xf>
    <xf numFmtId="0" fontId="25" fillId="7" borderId="0" xfId="0" applyFont="1" applyFill="1" applyAlignment="1" applyProtection="1">
      <alignment horizontal="center"/>
      <protection locked="0"/>
    </xf>
    <xf numFmtId="0" fontId="15" fillId="11" borderId="0" xfId="0" applyFont="1" applyFill="1" applyAlignment="1" applyProtection="1">
      <alignment horizontal="center"/>
      <protection locked="0"/>
    </xf>
    <xf numFmtId="0" fontId="10" fillId="0" borderId="16" xfId="0" applyFont="1" applyBorder="1" applyAlignment="1">
      <alignment horizontal="center"/>
    </xf>
    <xf numFmtId="0" fontId="10" fillId="0" borderId="43" xfId="0" applyFont="1" applyBorder="1" applyAlignment="1">
      <alignment horizontal="center"/>
    </xf>
    <xf numFmtId="0" fontId="6" fillId="2" borderId="50" xfId="0" applyFont="1" applyFill="1" applyBorder="1" applyAlignment="1">
      <alignment horizontal="center"/>
    </xf>
    <xf numFmtId="0" fontId="6" fillId="2" borderId="17" xfId="0" applyFont="1" applyFill="1" applyBorder="1" applyAlignment="1">
      <alignment horizontal="center"/>
    </xf>
    <xf numFmtId="0" fontId="6" fillId="2" borderId="51" xfId="0" applyFont="1" applyFill="1" applyBorder="1" applyAlignment="1">
      <alignment horizontal="center"/>
    </xf>
    <xf numFmtId="0" fontId="0" fillId="0" borderId="0" xfId="0" applyAlignment="1">
      <alignment horizontal="left"/>
    </xf>
    <xf numFmtId="0" fontId="0" fillId="0" borderId="43" xfId="0" applyBorder="1" applyAlignment="1">
      <alignment horizontal="left"/>
    </xf>
    <xf numFmtId="0" fontId="0" fillId="0" borderId="17" xfId="0" applyBorder="1" applyAlignment="1">
      <alignment horizontal="left"/>
    </xf>
    <xf numFmtId="0" fontId="0" fillId="0" borderId="51" xfId="0" applyBorder="1" applyAlignment="1">
      <alignment horizontal="left"/>
    </xf>
    <xf numFmtId="0" fontId="1" fillId="19" borderId="18" xfId="0" applyFont="1" applyFill="1" applyBorder="1" applyAlignment="1">
      <alignment horizontal="left"/>
    </xf>
    <xf numFmtId="0" fontId="1" fillId="19" borderId="19" xfId="0" applyFont="1" applyFill="1" applyBorder="1" applyAlignment="1">
      <alignment horizontal="left"/>
    </xf>
    <xf numFmtId="0" fontId="1" fillId="19" borderId="7" xfId="0" applyFont="1" applyFill="1" applyBorder="1" applyAlignment="1">
      <alignment horizontal="left"/>
    </xf>
    <xf numFmtId="0" fontId="0" fillId="0" borderId="27" xfId="0" applyBorder="1" applyAlignment="1">
      <alignment horizontal="left"/>
    </xf>
    <xf numFmtId="0" fontId="0" fillId="0" borderId="26" xfId="0" applyBorder="1" applyAlignment="1">
      <alignment horizontal="left"/>
    </xf>
  </cellXfs>
  <cellStyles count="2">
    <cellStyle name="Normal" xfId="0" builtinId="0"/>
    <cellStyle name="Percent" xfId="1" builtinId="5"/>
  </cellStyles>
  <dxfs count="80">
    <dxf>
      <fill>
        <patternFill>
          <bgColor rgb="FFFF0000"/>
        </patternFill>
      </fill>
    </dxf>
    <dxf>
      <fill>
        <patternFill>
          <bgColor rgb="FFFF0000"/>
        </patternFill>
      </fill>
    </dxf>
    <dxf>
      <fill>
        <patternFill>
          <bgColor rgb="FFFF0000"/>
        </patternFill>
      </fill>
    </dxf>
    <dxf>
      <fill>
        <patternFill>
          <bgColor rgb="FFFF0000"/>
        </patternFill>
      </fill>
    </dxf>
    <dxf>
      <numFmt numFmtId="19" formatCode="m/d/yyyy"/>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6" tint="0.59999389629810485"/>
        </patternFill>
      </fill>
      <alignment horizontal="left" textRotation="0" wrapText="0" indent="0" justifyLastLine="0" shrinkToFit="0" readingOrder="0"/>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alignment horizontal="center" textRotation="0" indent="0" justifyLastLine="0" shrinkToFit="0" readingOrder="0"/>
      <border diagonalUp="0" diagonalDown="0" outline="0">
        <left/>
        <right/>
        <top style="medium">
          <color auto="1"/>
        </top>
        <bottom style="medium">
          <color auto="1"/>
        </bottom>
      </border>
      <protection locked="0" hidden="0"/>
    </dxf>
    <dxf>
      <font>
        <b val="0"/>
        <i val="0"/>
        <strike val="0"/>
        <condense val="0"/>
        <extend val="0"/>
        <outline val="0"/>
        <shadow val="0"/>
        <u val="none"/>
        <vertAlign val="baseline"/>
        <sz val="11"/>
        <color theme="1"/>
        <name val="Calibri"/>
        <scheme val="minor"/>
      </font>
      <numFmt numFmtId="165" formatCode="mm/dd/yyyy"/>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ill>
        <patternFill patternType="none">
          <bgColor auto="1"/>
        </patternFill>
      </fill>
      <border diagonalUp="0" diagonalDown="0">
        <left/>
        <right/>
        <top style="medium">
          <color auto="1"/>
        </top>
        <bottom style="medium">
          <color auto="1"/>
        </bottom>
        <vertical/>
        <horizontal style="medium">
          <color auto="1"/>
        </horizontal>
      </border>
      <protection locked="0" hidden="0"/>
    </dxf>
    <dxf>
      <border diagonalUp="0" diagonalDown="0">
        <left style="medium">
          <color indexed="64"/>
        </left>
        <right style="medium">
          <color indexed="64"/>
        </right>
        <top style="medium">
          <color indexed="64"/>
        </top>
        <bottom/>
      </border>
    </dxf>
    <dxf>
      <fill>
        <patternFill patternType="none">
          <bgColor auto="1"/>
        </patternFill>
      </fill>
      <protection locked="0" hidden="0"/>
    </dxf>
    <dxf>
      <font>
        <b val="0"/>
        <strike val="0"/>
        <outline val="0"/>
        <shadow val="0"/>
        <u val="none"/>
        <vertAlign val="baseline"/>
        <sz val="11"/>
        <color auto="1"/>
        <name val="Calibri"/>
        <scheme val="minor"/>
      </font>
      <fill>
        <patternFill patternType="solid">
          <fgColor indexed="64"/>
          <bgColor theme="0" tint="-0.14999847407452621"/>
        </patternFill>
      </fill>
      <protection locked="0" hidden="0"/>
    </dxf>
    <dxf>
      <font>
        <b val="0"/>
        <i val="0"/>
        <strike val="0"/>
        <condense val="0"/>
        <extend val="0"/>
        <outline val="0"/>
        <shadow val="0"/>
        <u val="none"/>
        <vertAlign val="baseline"/>
        <sz val="10"/>
        <color auto="1"/>
        <name val="Calibri"/>
        <scheme val="minor"/>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0" formatCode="General"/>
      <alignment horizontal="general" vertical="center" textRotation="0" wrapText="1" indent="0" justifyLastLine="0" shrinkToFit="0" readingOrder="0"/>
      <border diagonalUp="0" diagonalDown="0">
        <left/>
        <right style="medium">
          <color indexed="64"/>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0"/>
        <color auto="1"/>
        <name val="Calibri"/>
        <scheme val="minor"/>
      </font>
      <numFmt numFmtId="0" formatCode="General"/>
      <alignment horizontal="general" vertical="center" textRotation="0" wrapText="1" indent="0" justifyLastLine="0" shrinkToFit="0" readingOrder="0"/>
      <border diagonalUp="0" diagonalDown="0">
        <left style="medium">
          <color indexed="64"/>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0"/>
        <color auto="1"/>
        <name val="Calibri"/>
        <scheme val="minor"/>
      </font>
      <numFmt numFmtId="0" formatCode="General"/>
      <alignment vertical="center" textRotation="0" wrapText="1" indent="0" justifyLastLine="0" shrinkToFit="0" readingOrder="0"/>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alignment vertical="center" textRotation="0" wrapText="1"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alignment vertical="center" textRotation="0" wrapText="1" indent="0" justifyLastLine="0" shrinkToFit="0" readingOrder="0"/>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alignment horizontal="general" vertical="center" textRotation="0" wrapText="0" indent="0" justifyLastLine="0" shrinkToFit="0" readingOrder="0"/>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alignment vertical="center" textRotation="0" indent="0" justifyLastLine="0" shrinkToFit="0" readingOrder="0"/>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Calibri"/>
        <scheme val="minor"/>
      </font>
      <numFmt numFmtId="166" formatCode="yyyy/mm/dd"/>
      <alignment horizontal="general" vertical="center" textRotation="0" wrapText="0" indent="0" justifyLastLine="0" shrinkToFit="0" readingOrder="0"/>
      <border>
        <left style="thin">
          <color indexed="64"/>
        </left>
      </border>
      <protection locked="0" hidden="0"/>
    </dxf>
    <dxf>
      <font>
        <b val="0"/>
        <i val="0"/>
        <strike val="0"/>
        <condense val="0"/>
        <extend val="0"/>
        <outline val="0"/>
        <shadow val="0"/>
        <u val="none"/>
        <vertAlign val="baseline"/>
        <sz val="10"/>
        <color auto="1"/>
        <name val="Calibri"/>
        <scheme val="minor"/>
      </font>
      <numFmt numFmtId="166" formatCode="yyyy/mm/dd"/>
      <alignment vertical="center" textRotation="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vertical="center" textRotation="0" indent="0" justifyLastLine="0" shrinkToFit="0" readingOrder="0"/>
      <border outline="0">
        <right style="thin">
          <color indexed="64"/>
        </right>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vertical="center" textRotation="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vertical="center" textRotation="0" indent="0" justifyLastLine="0" shrinkToFit="0" readingOrder="0"/>
      <protection locked="0" hidden="0"/>
    </dxf>
    <dxf>
      <font>
        <strike val="0"/>
        <outline val="0"/>
        <shadow val="0"/>
        <u val="none"/>
        <vertAlign val="baseline"/>
        <sz val="10"/>
        <color auto="1"/>
        <name val="Calibri"/>
        <scheme val="minor"/>
      </font>
      <alignment vertical="center" textRotation="0" indent="0" justifyLastLine="0" shrinkToFit="0" readingOrder="0"/>
    </dxf>
    <dxf>
      <font>
        <b/>
        <i val="0"/>
        <strike val="0"/>
        <condense val="0"/>
        <extend val="0"/>
        <outline val="0"/>
        <shadow val="0"/>
        <u val="none"/>
        <vertAlign val="baseline"/>
        <sz val="10"/>
        <color theme="2"/>
        <name val="Calibri"/>
        <scheme val="minor"/>
      </font>
      <fill>
        <patternFill patternType="solid">
          <fgColor theme="6"/>
          <bgColor theme="6"/>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6" tint="0.59999389629810485"/>
        </patternFill>
      </fill>
      <alignment horizontal="left" textRotation="0" wrapText="0" indent="0" justifyLastLine="0" shrinkToFit="0" readingOrder="0"/>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alignment horizontal="center" textRotation="0" indent="0" justifyLastLine="0" shrinkToFit="0" readingOrder="0"/>
      <border diagonalUp="0" diagonalDown="0" outline="0">
        <left/>
        <right/>
        <top style="medium">
          <color auto="1"/>
        </top>
        <bottom style="medium">
          <color auto="1"/>
        </bottom>
      </border>
      <protection locked="0" hidden="0"/>
    </dxf>
    <dxf>
      <font>
        <b val="0"/>
        <i val="0"/>
        <strike val="0"/>
        <condense val="0"/>
        <extend val="0"/>
        <outline val="0"/>
        <shadow val="0"/>
        <u val="none"/>
        <vertAlign val="baseline"/>
        <sz val="11"/>
        <color theme="1"/>
        <name val="Calibri"/>
        <scheme val="minor"/>
      </font>
      <numFmt numFmtId="165" formatCode="mm/dd/yyyy"/>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Calibri"/>
        <scheme val="minor"/>
      </font>
      <fill>
        <patternFill patternType="none">
          <fgColor theme="6" tint="0.79998168889431442"/>
          <bgColor auto="1"/>
        </patternFill>
      </fill>
      <border diagonalUp="0" diagonalDown="0">
        <left/>
        <right/>
        <top style="medium">
          <color auto="1"/>
        </top>
        <bottom style="medium">
          <color auto="1"/>
        </bottom>
        <vertical/>
        <horizontal style="medium">
          <color auto="1"/>
        </horizontal>
      </border>
      <protection locked="0" hidden="0"/>
    </dxf>
    <dxf>
      <fill>
        <patternFill patternType="none">
          <bgColor auto="1"/>
        </patternFill>
      </fill>
      <border diagonalUp="0" diagonalDown="0">
        <left/>
        <right/>
        <top style="medium">
          <color auto="1"/>
        </top>
        <bottom style="medium">
          <color auto="1"/>
        </bottom>
        <vertical/>
        <horizontal style="medium">
          <color auto="1"/>
        </horizontal>
      </border>
      <protection locked="0" hidden="0"/>
    </dxf>
    <dxf>
      <border diagonalUp="0" diagonalDown="0">
        <left style="medium">
          <color indexed="64"/>
        </left>
        <right style="medium">
          <color indexed="64"/>
        </right>
        <top style="medium">
          <color indexed="64"/>
        </top>
        <bottom/>
      </border>
    </dxf>
    <dxf>
      <fill>
        <patternFill patternType="none">
          <bgColor auto="1"/>
        </patternFill>
      </fill>
      <protection locked="0" hidden="0"/>
    </dxf>
    <dxf>
      <font>
        <b val="0"/>
        <strike val="0"/>
        <outline val="0"/>
        <shadow val="0"/>
        <u val="none"/>
        <vertAlign val="baseline"/>
        <sz val="11"/>
        <color auto="1"/>
        <name val="Calibri"/>
        <scheme val="minor"/>
      </font>
      <fill>
        <patternFill patternType="solid">
          <fgColor indexed="64"/>
          <bgColor theme="0" tint="-0.14999847407452621"/>
        </patternFill>
      </fill>
      <protection locked="0" hidden="0"/>
    </dxf>
  </dxfs>
  <tableStyles count="0" defaultTableStyle="TableStyleMedium2" defaultPivotStyle="PivotStyleLight16"/>
  <colors>
    <mruColors>
      <color rgb="FFDE7CBD"/>
      <color rgb="FFEF5380"/>
      <color rgb="FFFFA86D"/>
      <color rgb="FFEFBFDF"/>
      <color rgb="FFF86CEE"/>
      <color rgb="FFD121C9"/>
      <color rgb="FFF488A7"/>
      <color rgb="FFF92F77"/>
      <color rgb="FFF07474"/>
      <color rgb="FFEBA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b="1"/>
              <a:t>Total Number of Home</a:t>
            </a:r>
            <a:r>
              <a:rPr lang="en-US" b="1" baseline="0"/>
              <a:t> </a:t>
            </a:r>
            <a:r>
              <a:rPr lang="en-US" b="1"/>
              <a:t>Associated Infections by Month</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'Total Inf'!$C$4</c:f>
              <c:strCache>
                <c:ptCount val="1"/>
                <c:pt idx="0">
                  <c:v>Respiratory</c:v>
                </c:pt>
              </c:strCache>
            </c:strRef>
          </c:tx>
          <c:spPr>
            <a:solidFill>
              <a:srgbClr val="00B0F0"/>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Inf'!$C$5:$C$16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CC-481F-BA21-D31F0181A1E0}"/>
            </c:ext>
          </c:extLst>
        </c:ser>
        <c:ser>
          <c:idx val="1"/>
          <c:order val="1"/>
          <c:tx>
            <c:strRef>
              <c:f>'Total Inf'!$D$4</c:f>
              <c:strCache>
                <c:ptCount val="1"/>
                <c:pt idx="0">
                  <c:v>Gastro</c:v>
                </c:pt>
              </c:strCache>
            </c:strRef>
          </c:tx>
          <c:spPr>
            <a:solidFill>
              <a:srgbClr val="FFC000"/>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Inf'!$D$5:$D$16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7CC-481F-BA21-D31F0181A1E0}"/>
            </c:ext>
          </c:extLst>
        </c:ser>
        <c:ser>
          <c:idx val="2"/>
          <c:order val="2"/>
          <c:tx>
            <c:strRef>
              <c:f>'Total Inf'!$E$4</c:f>
              <c:strCache>
                <c:ptCount val="1"/>
                <c:pt idx="0">
                  <c:v>UTIs</c:v>
                </c:pt>
              </c:strCache>
            </c:strRef>
          </c:tx>
          <c:spPr>
            <a:solidFill>
              <a:srgbClr val="FFFF00"/>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Inf'!$E$5:$E$16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7CC-481F-BA21-D31F0181A1E0}"/>
            </c:ext>
          </c:extLst>
        </c:ser>
        <c:ser>
          <c:idx val="7"/>
          <c:order val="3"/>
          <c:tx>
            <c:v>Eye and Mouth</c:v>
          </c:tx>
          <c:spPr>
            <a:solidFill>
              <a:schemeClr val="accent2">
                <a:lumMod val="60000"/>
                <a:lumOff val="40000"/>
              </a:schemeClr>
            </a:solidFill>
            <a:ln>
              <a:noFill/>
            </a:ln>
            <a:effectLst/>
          </c:spPr>
          <c:invertIfNegative val="0"/>
          <c:val>
            <c:numRef>
              <c:f>'Total Inf'!$F$5:$F$16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1BB-4FB3-8EE6-ED73140C7F93}"/>
            </c:ext>
          </c:extLst>
        </c:ser>
        <c:ser>
          <c:idx val="3"/>
          <c:order val="4"/>
          <c:tx>
            <c:strRef>
              <c:f>'Total Inf'!$G$4</c:f>
              <c:strCache>
                <c:ptCount val="1"/>
                <c:pt idx="0">
                  <c:v>Skin Infections</c:v>
                </c:pt>
              </c:strCache>
            </c:strRef>
          </c:tx>
          <c:spPr>
            <a:solidFill>
              <a:srgbClr val="92D050"/>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Inf'!$G$5:$G$16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7CC-481F-BA21-D31F0181A1E0}"/>
            </c:ext>
          </c:extLst>
        </c:ser>
        <c:ser>
          <c:idx val="4"/>
          <c:order val="5"/>
          <c:tx>
            <c:strRef>
              <c:f>'Total Inf'!$H$4</c:f>
              <c:strCache>
                <c:ptCount val="1"/>
                <c:pt idx="0">
                  <c:v>Systemic Infections</c:v>
                </c:pt>
              </c:strCache>
            </c:strRef>
          </c:tx>
          <c:spPr>
            <a:solidFill>
              <a:srgbClr val="9999FF"/>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Inf'!$H$5:$H$16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B7CC-481F-BA21-D31F0181A1E0}"/>
            </c:ext>
          </c:extLst>
        </c:ser>
        <c:ser>
          <c:idx val="5"/>
          <c:order val="6"/>
          <c:tx>
            <c:strRef>
              <c:f>'Total Inf'!$I$4</c:f>
              <c:strCache>
                <c:ptCount val="1"/>
                <c:pt idx="0">
                  <c:v>[Other] Infections A</c:v>
                </c:pt>
              </c:strCache>
            </c:strRef>
          </c:tx>
          <c:spPr>
            <a:solidFill>
              <a:srgbClr val="FF6699"/>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Inf'!$I$5:$I$16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B7CC-481F-BA21-D31F0181A1E0}"/>
            </c:ext>
          </c:extLst>
        </c:ser>
        <c:ser>
          <c:idx val="6"/>
          <c:order val="7"/>
          <c:tx>
            <c:strRef>
              <c:f>'Total Inf'!$J$4</c:f>
              <c:strCache>
                <c:ptCount val="1"/>
                <c:pt idx="0">
                  <c:v>[Other] Infections B</c:v>
                </c:pt>
              </c:strCache>
            </c:strRef>
          </c:tx>
          <c:spPr>
            <a:solidFill>
              <a:srgbClr val="CC66FF"/>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Inf'!$J$5:$J$16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B7CC-481F-BA21-D31F0181A1E0}"/>
            </c:ext>
          </c:extLst>
        </c:ser>
        <c:dLbls>
          <c:showLegendKey val="0"/>
          <c:showVal val="0"/>
          <c:showCatName val="0"/>
          <c:showSerName val="0"/>
          <c:showPercent val="0"/>
          <c:showBubbleSize val="0"/>
        </c:dLbls>
        <c:gapWidth val="219"/>
        <c:overlap val="100"/>
        <c:axId val="204483040"/>
        <c:axId val="204483432"/>
      </c:barChart>
      <c:catAx>
        <c:axId val="204483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4483432"/>
        <c:crosses val="autoZero"/>
        <c:auto val="0"/>
        <c:lblAlgn val="ctr"/>
        <c:lblOffset val="100"/>
        <c:noMultiLvlLbl val="0"/>
      </c:catAx>
      <c:valAx>
        <c:axId val="20448343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4483040"/>
        <c:crossesAt val="1"/>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b="1"/>
              <a:t>Monthly Infection Rates per 1,000 Resident Days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'Total Inf'!$Q$4</c:f>
              <c:strCache>
                <c:ptCount val="1"/>
                <c:pt idx="0">
                  <c:v>Respiratory</c:v>
                </c:pt>
              </c:strCache>
            </c:strRef>
          </c:tx>
          <c:spPr>
            <a:solidFill>
              <a:srgbClr val="00B0F0"/>
            </a:solidFill>
            <a:ln>
              <a:noFill/>
            </a:ln>
            <a:effectLst/>
          </c:spPr>
          <c:invertIfNegative val="0"/>
          <c:cat>
            <c:strRef>
              <c:f>'Total Inf'!$O$5:$O$16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Inf'!$Q$5:$Q$16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AB8-4584-8BCD-306B8E4FC4ED}"/>
            </c:ext>
          </c:extLst>
        </c:ser>
        <c:ser>
          <c:idx val="1"/>
          <c:order val="1"/>
          <c:tx>
            <c:strRef>
              <c:f>'Total Inf'!$R$4</c:f>
              <c:strCache>
                <c:ptCount val="1"/>
                <c:pt idx="0">
                  <c:v>Gastro</c:v>
                </c:pt>
              </c:strCache>
            </c:strRef>
          </c:tx>
          <c:spPr>
            <a:solidFill>
              <a:srgbClr val="FFC000"/>
            </a:solidFill>
            <a:ln>
              <a:noFill/>
            </a:ln>
            <a:effectLst/>
          </c:spPr>
          <c:invertIfNegative val="0"/>
          <c:cat>
            <c:strRef>
              <c:f>'Total Inf'!$O$5:$O$16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Inf'!$R$5:$R$16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AB8-4584-8BCD-306B8E4FC4ED}"/>
            </c:ext>
          </c:extLst>
        </c:ser>
        <c:ser>
          <c:idx val="2"/>
          <c:order val="2"/>
          <c:tx>
            <c:strRef>
              <c:f>'Total Inf'!$S$4</c:f>
              <c:strCache>
                <c:ptCount val="1"/>
                <c:pt idx="0">
                  <c:v>UTIs</c:v>
                </c:pt>
              </c:strCache>
            </c:strRef>
          </c:tx>
          <c:spPr>
            <a:solidFill>
              <a:srgbClr val="FFFF00"/>
            </a:solidFill>
            <a:ln>
              <a:noFill/>
            </a:ln>
            <a:effectLst/>
          </c:spPr>
          <c:invertIfNegative val="0"/>
          <c:cat>
            <c:strRef>
              <c:f>'Total Inf'!$O$5:$O$16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Inf'!$S$5:$S$16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AB8-4584-8BCD-306B8E4FC4ED}"/>
            </c:ext>
          </c:extLst>
        </c:ser>
        <c:ser>
          <c:idx val="3"/>
          <c:order val="3"/>
          <c:tx>
            <c:strRef>
              <c:f>'Total Inf'!$T$4</c:f>
              <c:strCache>
                <c:ptCount val="1"/>
                <c:pt idx="0">
                  <c:v>Eye and Mouth</c:v>
                </c:pt>
              </c:strCache>
            </c:strRef>
          </c:tx>
          <c:spPr>
            <a:solidFill>
              <a:schemeClr val="accent2">
                <a:lumMod val="60000"/>
                <a:lumOff val="40000"/>
              </a:schemeClr>
            </a:solidFill>
            <a:ln>
              <a:noFill/>
            </a:ln>
            <a:effectLst/>
          </c:spPr>
          <c:invertIfNegative val="0"/>
          <c:cat>
            <c:strRef>
              <c:f>'Total Inf'!$O$5:$O$16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Inf'!$T$5:$T$16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AB8-4584-8BCD-306B8E4FC4ED}"/>
            </c:ext>
          </c:extLst>
        </c:ser>
        <c:ser>
          <c:idx val="4"/>
          <c:order val="4"/>
          <c:tx>
            <c:strRef>
              <c:f>'Total Inf'!$U$4</c:f>
              <c:strCache>
                <c:ptCount val="1"/>
                <c:pt idx="0">
                  <c:v>Skin Infections</c:v>
                </c:pt>
              </c:strCache>
            </c:strRef>
          </c:tx>
          <c:spPr>
            <a:solidFill>
              <a:srgbClr val="92D050"/>
            </a:solidFill>
            <a:ln>
              <a:noFill/>
            </a:ln>
            <a:effectLst/>
          </c:spPr>
          <c:invertIfNegative val="0"/>
          <c:cat>
            <c:strRef>
              <c:f>'Total Inf'!$O$5:$O$16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Inf'!$U$5:$U$16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AB8-4584-8BCD-306B8E4FC4ED}"/>
            </c:ext>
          </c:extLst>
        </c:ser>
        <c:ser>
          <c:idx val="5"/>
          <c:order val="5"/>
          <c:tx>
            <c:strRef>
              <c:f>'Total Inf'!$V$4</c:f>
              <c:strCache>
                <c:ptCount val="1"/>
                <c:pt idx="0">
                  <c:v>Systemic Infections</c:v>
                </c:pt>
              </c:strCache>
            </c:strRef>
          </c:tx>
          <c:spPr>
            <a:solidFill>
              <a:srgbClr val="9999FF"/>
            </a:solidFill>
            <a:ln>
              <a:noFill/>
            </a:ln>
            <a:effectLst/>
          </c:spPr>
          <c:invertIfNegative val="0"/>
          <c:cat>
            <c:strRef>
              <c:f>'Total Inf'!$O$5:$O$16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Inf'!$V$5:$V$16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AB8-4584-8BCD-306B8E4FC4ED}"/>
            </c:ext>
          </c:extLst>
        </c:ser>
        <c:ser>
          <c:idx val="6"/>
          <c:order val="6"/>
          <c:tx>
            <c:strRef>
              <c:f>'Total Inf'!$W$4</c:f>
              <c:strCache>
                <c:ptCount val="1"/>
                <c:pt idx="0">
                  <c:v>[Other] Infections A</c:v>
                </c:pt>
              </c:strCache>
            </c:strRef>
          </c:tx>
          <c:spPr>
            <a:solidFill>
              <a:srgbClr val="FF6699"/>
            </a:solidFill>
            <a:ln>
              <a:noFill/>
            </a:ln>
            <a:effectLst/>
          </c:spPr>
          <c:invertIfNegative val="0"/>
          <c:cat>
            <c:strRef>
              <c:f>'Total Inf'!$O$5:$O$16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Inf'!$W$5:$W$16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1AB8-4584-8BCD-306B8E4FC4ED}"/>
            </c:ext>
          </c:extLst>
        </c:ser>
        <c:ser>
          <c:idx val="7"/>
          <c:order val="7"/>
          <c:tx>
            <c:strRef>
              <c:f>'Total Inf'!$X$4</c:f>
              <c:strCache>
                <c:ptCount val="1"/>
                <c:pt idx="0">
                  <c:v>[Other] Infections B</c:v>
                </c:pt>
              </c:strCache>
            </c:strRef>
          </c:tx>
          <c:spPr>
            <a:solidFill>
              <a:srgbClr val="CC66FF"/>
            </a:solidFill>
            <a:ln>
              <a:noFill/>
            </a:ln>
            <a:effectLst/>
          </c:spPr>
          <c:invertIfNegative val="0"/>
          <c:cat>
            <c:strRef>
              <c:f>'Total Inf'!$O$5:$O$16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Inf'!$X$5:$X$16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AB8-4584-8BCD-306B8E4FC4ED}"/>
            </c:ext>
          </c:extLst>
        </c:ser>
        <c:dLbls>
          <c:showLegendKey val="0"/>
          <c:showVal val="0"/>
          <c:showCatName val="0"/>
          <c:showSerName val="0"/>
          <c:showPercent val="0"/>
          <c:showBubbleSize val="0"/>
        </c:dLbls>
        <c:gapWidth val="219"/>
        <c:overlap val="-27"/>
        <c:axId val="204486176"/>
        <c:axId val="204484216"/>
      </c:barChart>
      <c:catAx>
        <c:axId val="2044861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4484216"/>
        <c:crosses val="autoZero"/>
        <c:auto val="0"/>
        <c:lblAlgn val="ctr"/>
        <c:lblOffset val="100"/>
        <c:noMultiLvlLbl val="0"/>
      </c:catAx>
      <c:valAx>
        <c:axId val="204484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4486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b="1"/>
              <a:t>Total Number of All</a:t>
            </a:r>
            <a:r>
              <a:rPr lang="en-US" b="1" baseline="0"/>
              <a:t> </a:t>
            </a:r>
            <a:r>
              <a:rPr lang="en-US" b="1"/>
              <a:t>Infections by Month</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'Total Inf'!$C$48</c:f>
              <c:strCache>
                <c:ptCount val="1"/>
                <c:pt idx="0">
                  <c:v>Respiratory</c:v>
                </c:pt>
              </c:strCache>
            </c:strRef>
          </c:tx>
          <c:spPr>
            <a:solidFill>
              <a:srgbClr val="00B0F0"/>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Inf'!$C$49:$C$60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CC-481F-BA21-D31F0181A1E0}"/>
            </c:ext>
          </c:extLst>
        </c:ser>
        <c:ser>
          <c:idx val="1"/>
          <c:order val="1"/>
          <c:tx>
            <c:strRef>
              <c:f>'Total Inf'!$D$48</c:f>
              <c:strCache>
                <c:ptCount val="1"/>
                <c:pt idx="0">
                  <c:v>Gastro</c:v>
                </c:pt>
              </c:strCache>
            </c:strRef>
          </c:tx>
          <c:spPr>
            <a:solidFill>
              <a:srgbClr val="FFC000"/>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Inf'!$D$49:$D$60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7CC-481F-BA21-D31F0181A1E0}"/>
            </c:ext>
          </c:extLst>
        </c:ser>
        <c:ser>
          <c:idx val="2"/>
          <c:order val="2"/>
          <c:tx>
            <c:strRef>
              <c:f>'Total Inf'!$E$48</c:f>
              <c:strCache>
                <c:ptCount val="1"/>
                <c:pt idx="0">
                  <c:v>UTIs</c:v>
                </c:pt>
              </c:strCache>
            </c:strRef>
          </c:tx>
          <c:spPr>
            <a:solidFill>
              <a:srgbClr val="FFFF00"/>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Inf'!$E$49:$E$60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7CC-481F-BA21-D31F0181A1E0}"/>
            </c:ext>
          </c:extLst>
        </c:ser>
        <c:ser>
          <c:idx val="7"/>
          <c:order val="3"/>
          <c:tx>
            <c:strRef>
              <c:f>'Total Inf'!$F$48</c:f>
              <c:strCache>
                <c:ptCount val="1"/>
                <c:pt idx="0">
                  <c:v>Eye and Mouth</c:v>
                </c:pt>
              </c:strCache>
            </c:strRef>
          </c:tx>
          <c:spPr>
            <a:solidFill>
              <a:schemeClr val="accent2">
                <a:lumMod val="60000"/>
                <a:lumOff val="40000"/>
              </a:schemeClr>
            </a:solidFill>
            <a:ln>
              <a:noFill/>
            </a:ln>
            <a:effectLst/>
          </c:spPr>
          <c:invertIfNegative val="0"/>
          <c:val>
            <c:numRef>
              <c:f>'Total Inf'!$F$49:$F$60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CE-4A07-99E6-0DE22B86E53C}"/>
            </c:ext>
          </c:extLst>
        </c:ser>
        <c:ser>
          <c:idx val="3"/>
          <c:order val="4"/>
          <c:tx>
            <c:strRef>
              <c:f>'Total Inf'!$G$48</c:f>
              <c:strCache>
                <c:ptCount val="1"/>
                <c:pt idx="0">
                  <c:v>Skin Infections</c:v>
                </c:pt>
              </c:strCache>
            </c:strRef>
          </c:tx>
          <c:spPr>
            <a:solidFill>
              <a:srgbClr val="92D050"/>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Inf'!$G$49:$G$60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7CC-481F-BA21-D31F0181A1E0}"/>
            </c:ext>
          </c:extLst>
        </c:ser>
        <c:ser>
          <c:idx val="4"/>
          <c:order val="5"/>
          <c:tx>
            <c:strRef>
              <c:f>'Total Inf'!$H$48</c:f>
              <c:strCache>
                <c:ptCount val="1"/>
                <c:pt idx="0">
                  <c:v>Systemic Infections</c:v>
                </c:pt>
              </c:strCache>
            </c:strRef>
          </c:tx>
          <c:spPr>
            <a:solidFill>
              <a:srgbClr val="9999FF"/>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Inf'!$H$49:$H$60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B7CC-481F-BA21-D31F0181A1E0}"/>
            </c:ext>
          </c:extLst>
        </c:ser>
        <c:ser>
          <c:idx val="5"/>
          <c:order val="6"/>
          <c:tx>
            <c:strRef>
              <c:f>'Total Inf'!$I$48</c:f>
              <c:strCache>
                <c:ptCount val="1"/>
                <c:pt idx="0">
                  <c:v>[Other] Infections A</c:v>
                </c:pt>
              </c:strCache>
            </c:strRef>
          </c:tx>
          <c:spPr>
            <a:solidFill>
              <a:srgbClr val="FF6699"/>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Inf'!$I$49:$I$60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B7CC-481F-BA21-D31F0181A1E0}"/>
            </c:ext>
          </c:extLst>
        </c:ser>
        <c:ser>
          <c:idx val="6"/>
          <c:order val="7"/>
          <c:tx>
            <c:strRef>
              <c:f>'Total Inf'!$J$48</c:f>
              <c:strCache>
                <c:ptCount val="1"/>
                <c:pt idx="0">
                  <c:v>[Other] Infections B</c:v>
                </c:pt>
              </c:strCache>
            </c:strRef>
          </c:tx>
          <c:spPr>
            <a:solidFill>
              <a:srgbClr val="CC66FF"/>
            </a:solidFill>
            <a:ln>
              <a:noFill/>
            </a:ln>
            <a:effectLst/>
          </c:spPr>
          <c:invertIfNegative val="0"/>
          <c:cat>
            <c:strRef>
              <c:f>'Total Inf'!$B$5:$B$16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Inf'!$J$49:$J$60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B7CC-481F-BA21-D31F0181A1E0}"/>
            </c:ext>
          </c:extLst>
        </c:ser>
        <c:dLbls>
          <c:showLegendKey val="0"/>
          <c:showVal val="0"/>
          <c:showCatName val="0"/>
          <c:showSerName val="0"/>
          <c:showPercent val="0"/>
          <c:showBubbleSize val="0"/>
        </c:dLbls>
        <c:gapWidth val="219"/>
        <c:overlap val="100"/>
        <c:axId val="133182696"/>
        <c:axId val="133181520"/>
      </c:barChart>
      <c:catAx>
        <c:axId val="1331826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3181520"/>
        <c:crosses val="autoZero"/>
        <c:auto val="0"/>
        <c:lblAlgn val="ctr"/>
        <c:lblOffset val="100"/>
        <c:noMultiLvlLbl val="0"/>
      </c:catAx>
      <c:valAx>
        <c:axId val="13318152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3182696"/>
        <c:crossesAt val="1"/>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sz="10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Total Number of AROs by Month</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MRSA Infected</c:v>
          </c:tx>
          <c:spPr>
            <a:solidFill>
              <a:srgbClr val="0070C0"/>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AROs'!$D$7:$D$18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57-49A8-BDC8-A3AD6090C66B}"/>
            </c:ext>
          </c:extLst>
        </c:ser>
        <c:ser>
          <c:idx val="1"/>
          <c:order val="1"/>
          <c:tx>
            <c:v>MRSA Colonized</c:v>
          </c:tx>
          <c:spPr>
            <a:solidFill>
              <a:srgbClr val="00B0F0"/>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AROs'!$C$7:$C$18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257-49A8-BDC8-A3AD6090C66B}"/>
            </c:ext>
          </c:extLst>
        </c:ser>
        <c:ser>
          <c:idx val="2"/>
          <c:order val="2"/>
          <c:tx>
            <c:v>VRE Infected</c:v>
          </c:tx>
          <c:spPr>
            <a:solidFill>
              <a:srgbClr val="00B050"/>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AROs'!$E$7:$E$18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257-49A8-BDC8-A3AD6090C66B}"/>
            </c:ext>
          </c:extLst>
        </c:ser>
        <c:ser>
          <c:idx val="6"/>
          <c:order val="3"/>
          <c:tx>
            <c:v>CPE Infected</c:v>
          </c:tx>
          <c:spPr>
            <a:solidFill>
              <a:srgbClr val="F92F77"/>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AROs'!$G$7:$G$18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1257-49A8-BDC8-A3AD6090C66B}"/>
            </c:ext>
          </c:extLst>
        </c:ser>
        <c:ser>
          <c:idx val="7"/>
          <c:order val="4"/>
          <c:tx>
            <c:v>CPE Colonized</c:v>
          </c:tx>
          <c:spPr>
            <a:solidFill>
              <a:srgbClr val="F07474"/>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AROs'!$F$7:$F$18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257-49A8-BDC8-A3AD6090C66B}"/>
            </c:ext>
          </c:extLst>
        </c:ser>
        <c:ser>
          <c:idx val="4"/>
          <c:order val="5"/>
          <c:tx>
            <c:v>ESBL Infected</c:v>
          </c:tx>
          <c:spPr>
            <a:solidFill>
              <a:srgbClr val="D121C9"/>
            </a:solidFill>
            <a:ln>
              <a:noFill/>
            </a:ln>
            <a:effectLst/>
          </c:spPr>
          <c:invertIfNegative val="0"/>
          <c:val>
            <c:numRef>
              <c:f>'Total AROs'!$I$7:$I$18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D64-4685-8DDB-CB7B287F5454}"/>
            </c:ext>
          </c:extLst>
        </c:ser>
        <c:ser>
          <c:idx val="3"/>
          <c:order val="6"/>
          <c:tx>
            <c:v>ESBL Colonized</c:v>
          </c:tx>
          <c:spPr>
            <a:solidFill>
              <a:srgbClr val="F86CEE"/>
            </a:solidFill>
            <a:ln>
              <a:noFill/>
            </a:ln>
            <a:effectLst/>
          </c:spPr>
          <c:invertIfNegative val="0"/>
          <c:val>
            <c:numRef>
              <c:f>'Total AROs'!$H$7:$H$18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D64-4685-8DDB-CB7B287F5454}"/>
            </c:ext>
          </c:extLst>
        </c:ser>
        <c:dLbls>
          <c:showLegendKey val="0"/>
          <c:showVal val="0"/>
          <c:showCatName val="0"/>
          <c:showSerName val="0"/>
          <c:showPercent val="0"/>
          <c:showBubbleSize val="0"/>
        </c:dLbls>
        <c:gapWidth val="219"/>
        <c:overlap val="100"/>
        <c:axId val="133184264"/>
        <c:axId val="133179168"/>
      </c:barChart>
      <c:catAx>
        <c:axId val="1331842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179168"/>
        <c:crosses val="autoZero"/>
        <c:auto val="0"/>
        <c:lblAlgn val="ctr"/>
        <c:lblOffset val="100"/>
        <c:noMultiLvlLbl val="0"/>
      </c:catAx>
      <c:valAx>
        <c:axId val="13317916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184264"/>
        <c:crossesAt val="1"/>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Monthly ARO Rates per 1,000 Resident Days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MRSA Infected</c:v>
          </c:tx>
          <c:spPr>
            <a:solidFill>
              <a:srgbClr val="0070C0"/>
            </a:solidFill>
            <a:ln>
              <a:noFill/>
            </a:ln>
            <a:effectLst/>
          </c:spPr>
          <c:invertIfNegative val="0"/>
          <c:cat>
            <c:strRef>
              <c:f>'Total AROs'!$L$7:$L$18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AROs'!$O$7:$O$18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0AF-4F3E-B355-0A3104E13551}"/>
            </c:ext>
          </c:extLst>
        </c:ser>
        <c:ser>
          <c:idx val="1"/>
          <c:order val="1"/>
          <c:tx>
            <c:v>MRSA Colonized</c:v>
          </c:tx>
          <c:spPr>
            <a:solidFill>
              <a:srgbClr val="00B0F0"/>
            </a:solidFill>
            <a:ln>
              <a:noFill/>
            </a:ln>
            <a:effectLst/>
          </c:spPr>
          <c:invertIfNegative val="0"/>
          <c:cat>
            <c:strRef>
              <c:f>'Total AROs'!$L$7:$L$18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AROs'!$N$7:$N$18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0AF-4F3E-B355-0A3104E13551}"/>
            </c:ext>
          </c:extLst>
        </c:ser>
        <c:ser>
          <c:idx val="2"/>
          <c:order val="2"/>
          <c:tx>
            <c:v>VRE Infected</c:v>
          </c:tx>
          <c:spPr>
            <a:solidFill>
              <a:srgbClr val="00B050"/>
            </a:solidFill>
            <a:ln>
              <a:noFill/>
            </a:ln>
            <a:effectLst/>
          </c:spPr>
          <c:invertIfNegative val="0"/>
          <c:cat>
            <c:strRef>
              <c:f>'Total AROs'!$L$7:$L$18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AROs'!$P$7:$P$18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0AF-4F3E-B355-0A3104E13551}"/>
            </c:ext>
          </c:extLst>
        </c:ser>
        <c:ser>
          <c:idx val="6"/>
          <c:order val="3"/>
          <c:tx>
            <c:v>CPE Infected</c:v>
          </c:tx>
          <c:spPr>
            <a:solidFill>
              <a:srgbClr val="F92F77"/>
            </a:solidFill>
            <a:ln>
              <a:noFill/>
            </a:ln>
            <a:effectLst/>
          </c:spPr>
          <c:invertIfNegative val="0"/>
          <c:cat>
            <c:strRef>
              <c:f>'Total AROs'!$L$7:$L$18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AROs'!$R$7:$R$18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0AF-4F3E-B355-0A3104E13551}"/>
            </c:ext>
          </c:extLst>
        </c:ser>
        <c:ser>
          <c:idx val="7"/>
          <c:order val="4"/>
          <c:tx>
            <c:v>CPE Colonized</c:v>
          </c:tx>
          <c:spPr>
            <a:solidFill>
              <a:srgbClr val="F07474"/>
            </a:solidFill>
            <a:ln>
              <a:noFill/>
            </a:ln>
            <a:effectLst/>
          </c:spPr>
          <c:invertIfNegative val="0"/>
          <c:cat>
            <c:strRef>
              <c:f>'Total AROs'!$L$7:$L$18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AROs'!$Q$7:$Q$18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0AF-4F3E-B355-0A3104E13551}"/>
            </c:ext>
          </c:extLst>
        </c:ser>
        <c:ser>
          <c:idx val="4"/>
          <c:order val="5"/>
          <c:tx>
            <c:v>ESBL Infected</c:v>
          </c:tx>
          <c:spPr>
            <a:solidFill>
              <a:srgbClr val="D121C9"/>
            </a:solidFill>
            <a:ln>
              <a:noFill/>
            </a:ln>
            <a:effectLst/>
          </c:spPr>
          <c:invertIfNegative val="0"/>
          <c:val>
            <c:numRef>
              <c:f>'Total AROs'!$T$7:$T$18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8B-4DF8-8C27-E39672B81FC3}"/>
            </c:ext>
          </c:extLst>
        </c:ser>
        <c:ser>
          <c:idx val="3"/>
          <c:order val="6"/>
          <c:tx>
            <c:v>ESBL Colonized</c:v>
          </c:tx>
          <c:spPr>
            <a:solidFill>
              <a:srgbClr val="F86CEE"/>
            </a:solidFill>
            <a:ln>
              <a:noFill/>
            </a:ln>
            <a:effectLst/>
          </c:spPr>
          <c:invertIfNegative val="0"/>
          <c:val>
            <c:numRef>
              <c:f>'Total AROs'!$S$7:$S$18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8B-4DF8-8C27-E39672B81FC3}"/>
            </c:ext>
          </c:extLst>
        </c:ser>
        <c:dLbls>
          <c:showLegendKey val="0"/>
          <c:showVal val="0"/>
          <c:showCatName val="0"/>
          <c:showSerName val="0"/>
          <c:showPercent val="0"/>
          <c:showBubbleSize val="0"/>
        </c:dLbls>
        <c:gapWidth val="219"/>
        <c:overlap val="-27"/>
        <c:axId val="133180736"/>
        <c:axId val="133185048"/>
      </c:barChart>
      <c:catAx>
        <c:axId val="133180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185048"/>
        <c:crosses val="autoZero"/>
        <c:auto val="1"/>
        <c:lblAlgn val="ctr"/>
        <c:lblOffset val="100"/>
        <c:noMultiLvlLbl val="0"/>
      </c:catAx>
      <c:valAx>
        <c:axId val="1331850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180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Total Number of AROs by Month</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MRSA Infected</c:v>
          </c:tx>
          <c:spPr>
            <a:solidFill>
              <a:srgbClr val="0070C0"/>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AROs'!$D$46:$D$57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57-49A8-BDC8-A3AD6090C66B}"/>
            </c:ext>
          </c:extLst>
        </c:ser>
        <c:ser>
          <c:idx val="1"/>
          <c:order val="1"/>
          <c:tx>
            <c:v>MRSA Colonized</c:v>
          </c:tx>
          <c:spPr>
            <a:solidFill>
              <a:srgbClr val="00B0F0"/>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AROs'!$C$46:$C$57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257-49A8-BDC8-A3AD6090C66B}"/>
            </c:ext>
          </c:extLst>
        </c:ser>
        <c:ser>
          <c:idx val="2"/>
          <c:order val="2"/>
          <c:tx>
            <c:v>VRE Infected</c:v>
          </c:tx>
          <c:spPr>
            <a:solidFill>
              <a:srgbClr val="00B050"/>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AROs'!$E$46:$E$57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257-49A8-BDC8-A3AD6090C66B}"/>
            </c:ext>
          </c:extLst>
        </c:ser>
        <c:ser>
          <c:idx val="6"/>
          <c:order val="3"/>
          <c:tx>
            <c:v>CPE Infected</c:v>
          </c:tx>
          <c:spPr>
            <a:solidFill>
              <a:srgbClr val="F92F77"/>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AROs'!$G$46:$G$57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1257-49A8-BDC8-A3AD6090C66B}"/>
            </c:ext>
          </c:extLst>
        </c:ser>
        <c:ser>
          <c:idx val="7"/>
          <c:order val="4"/>
          <c:tx>
            <c:v>CPE Colonized</c:v>
          </c:tx>
          <c:spPr>
            <a:solidFill>
              <a:srgbClr val="F488A7"/>
            </a:solidFill>
            <a:ln>
              <a:noFill/>
            </a:ln>
            <a:effectLst/>
          </c:spPr>
          <c:invertIfNegative val="0"/>
          <c:cat>
            <c:strRef>
              <c:f>'Total AROs'!$B$7:$B$18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AROs'!$F$46:$F$57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257-49A8-BDC8-A3AD6090C66B}"/>
            </c:ext>
          </c:extLst>
        </c:ser>
        <c:ser>
          <c:idx val="3"/>
          <c:order val="5"/>
          <c:tx>
            <c:v>ESBL Infected</c:v>
          </c:tx>
          <c:spPr>
            <a:solidFill>
              <a:srgbClr val="D121C9"/>
            </a:solidFill>
            <a:ln>
              <a:noFill/>
            </a:ln>
            <a:effectLst/>
          </c:spPr>
          <c:invertIfNegative val="0"/>
          <c:val>
            <c:numRef>
              <c:f>'Total AROs'!$I$46:$I$57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A4-42A4-9937-0CBA33D4D4B1}"/>
            </c:ext>
          </c:extLst>
        </c:ser>
        <c:ser>
          <c:idx val="4"/>
          <c:order val="6"/>
          <c:tx>
            <c:v>ESBL Colonized</c:v>
          </c:tx>
          <c:spPr>
            <a:solidFill>
              <a:srgbClr val="F86CEE"/>
            </a:solidFill>
            <a:ln>
              <a:noFill/>
            </a:ln>
            <a:effectLst/>
          </c:spPr>
          <c:invertIfNegative val="0"/>
          <c:val>
            <c:numRef>
              <c:f>'Total AROs'!$H$46:$H$57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4A4-42A4-9937-0CBA33D4D4B1}"/>
            </c:ext>
          </c:extLst>
        </c:ser>
        <c:dLbls>
          <c:showLegendKey val="0"/>
          <c:showVal val="0"/>
          <c:showCatName val="0"/>
          <c:showSerName val="0"/>
          <c:showPercent val="0"/>
          <c:showBubbleSize val="0"/>
        </c:dLbls>
        <c:gapWidth val="219"/>
        <c:overlap val="100"/>
        <c:axId val="133179952"/>
        <c:axId val="133181128"/>
      </c:barChart>
      <c:catAx>
        <c:axId val="133179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181128"/>
        <c:crosses val="autoZero"/>
        <c:auto val="0"/>
        <c:lblAlgn val="ctr"/>
        <c:lblOffset val="100"/>
        <c:noMultiLvlLbl val="0"/>
      </c:catAx>
      <c:valAx>
        <c:axId val="133181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179952"/>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b="1"/>
              <a:t>Total Number of Staff Infections by Month</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'Total Staff'!$C$4</c:f>
              <c:strCache>
                <c:ptCount val="1"/>
                <c:pt idx="0">
                  <c:v>Respiratory</c:v>
                </c:pt>
              </c:strCache>
            </c:strRef>
          </c:tx>
          <c:spPr>
            <a:solidFill>
              <a:srgbClr val="00B0F0"/>
            </a:solidFill>
            <a:ln>
              <a:noFill/>
            </a:ln>
            <a:effectLst/>
          </c:spPr>
          <c:invertIfNegative val="0"/>
          <c:cat>
            <c:strRef>
              <c:f>'Total Staff'!$B$5:$B$16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Staff'!$C$5:$C$16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7CC-481F-BA21-D31F0181A1E0}"/>
            </c:ext>
          </c:extLst>
        </c:ser>
        <c:ser>
          <c:idx val="1"/>
          <c:order val="1"/>
          <c:tx>
            <c:strRef>
              <c:f>'Total Staff'!$D$4</c:f>
              <c:strCache>
                <c:ptCount val="1"/>
                <c:pt idx="0">
                  <c:v>Gastro</c:v>
                </c:pt>
              </c:strCache>
            </c:strRef>
          </c:tx>
          <c:spPr>
            <a:solidFill>
              <a:srgbClr val="FFC000"/>
            </a:solidFill>
            <a:ln>
              <a:noFill/>
            </a:ln>
            <a:effectLst/>
          </c:spPr>
          <c:invertIfNegative val="0"/>
          <c:cat>
            <c:strRef>
              <c:f>'Total Staff'!$B$5:$B$16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Staff'!$D$5:$D$16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7CC-481F-BA21-D31F0181A1E0}"/>
            </c:ext>
          </c:extLst>
        </c:ser>
        <c:ser>
          <c:idx val="2"/>
          <c:order val="2"/>
          <c:tx>
            <c:strRef>
              <c:f>'Total Staff'!$E$4</c:f>
              <c:strCache>
                <c:ptCount val="1"/>
                <c:pt idx="0">
                  <c:v>Skin Infections</c:v>
                </c:pt>
              </c:strCache>
            </c:strRef>
          </c:tx>
          <c:spPr>
            <a:solidFill>
              <a:srgbClr val="92D050"/>
            </a:solidFill>
            <a:ln>
              <a:noFill/>
            </a:ln>
            <a:effectLst/>
          </c:spPr>
          <c:invertIfNegative val="0"/>
          <c:cat>
            <c:strRef>
              <c:f>'Total Staff'!$B$5:$B$16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Staff'!$E$5:$E$16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2-B7CC-481F-BA21-D31F0181A1E0}"/>
            </c:ext>
          </c:extLst>
        </c:ser>
        <c:ser>
          <c:idx val="3"/>
          <c:order val="3"/>
          <c:tx>
            <c:strRef>
              <c:f>'Total Staff'!$F$4</c:f>
              <c:strCache>
                <c:ptCount val="1"/>
                <c:pt idx="0">
                  <c:v>[Other] Infections A</c:v>
                </c:pt>
              </c:strCache>
            </c:strRef>
          </c:tx>
          <c:spPr>
            <a:solidFill>
              <a:srgbClr val="EF5380"/>
            </a:solidFill>
            <a:ln>
              <a:noFill/>
            </a:ln>
            <a:effectLst/>
          </c:spPr>
          <c:invertIfNegative val="0"/>
          <c:cat>
            <c:strRef>
              <c:f>'Total Staff'!$B$5:$B$16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Staff'!$F$5:$F$16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7CC-481F-BA21-D31F0181A1E0}"/>
            </c:ext>
          </c:extLst>
        </c:ser>
        <c:ser>
          <c:idx val="4"/>
          <c:order val="4"/>
          <c:tx>
            <c:strRef>
              <c:f>'Total Staff'!$G$4</c:f>
              <c:strCache>
                <c:ptCount val="1"/>
                <c:pt idx="0">
                  <c:v>[Other] Infections B</c:v>
                </c:pt>
              </c:strCache>
            </c:strRef>
          </c:tx>
          <c:spPr>
            <a:solidFill>
              <a:srgbClr val="DE7CBD"/>
            </a:solidFill>
            <a:ln>
              <a:noFill/>
            </a:ln>
            <a:effectLst/>
          </c:spPr>
          <c:invertIfNegative val="0"/>
          <c:cat>
            <c:strRef>
              <c:f>'Total Staff'!$B$5:$B$16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'Total Staff'!$G$5:$G$16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4-B7CC-481F-BA21-D31F0181A1E0}"/>
            </c:ext>
          </c:extLst>
        </c:ser>
        <c:dLbls>
          <c:showLegendKey val="0"/>
          <c:showVal val="0"/>
          <c:showCatName val="0"/>
          <c:showSerName val="0"/>
          <c:showPercent val="0"/>
          <c:showBubbleSize val="0"/>
        </c:dLbls>
        <c:gapWidth val="219"/>
        <c:overlap val="100"/>
        <c:axId val="133178776"/>
        <c:axId val="133179560"/>
        <c:extLst/>
      </c:barChart>
      <c:catAx>
        <c:axId val="133178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3179560"/>
        <c:crosses val="autoZero"/>
        <c:auto val="0"/>
        <c:lblAlgn val="ctr"/>
        <c:lblOffset val="100"/>
        <c:noMultiLvlLbl val="0"/>
      </c:catAx>
      <c:valAx>
        <c:axId val="13317956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a:solidFill>
              <a:schemeClr val="accent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33178776"/>
        <c:crossesAt val="1"/>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180975</xdr:rowOff>
    </xdr:from>
    <xdr:to>
      <xdr:col>2</xdr:col>
      <xdr:colOff>1059277</xdr:colOff>
      <xdr:row>4</xdr:row>
      <xdr:rowOff>171449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9075" y="180975"/>
          <a:ext cx="2059402" cy="752474"/>
        </a:xfrm>
        <a:prstGeom prst="rect">
          <a:avLst/>
        </a:prstGeom>
      </xdr:spPr>
    </xdr:pic>
    <xdr:clientData/>
  </xdr:twoCellAnchor>
  <xdr:twoCellAnchor editAs="oneCell">
    <xdr:from>
      <xdr:col>0</xdr:col>
      <xdr:colOff>219075</xdr:colOff>
      <xdr:row>0</xdr:row>
      <xdr:rowOff>180975</xdr:rowOff>
    </xdr:from>
    <xdr:to>
      <xdr:col>2</xdr:col>
      <xdr:colOff>1059277</xdr:colOff>
      <xdr:row>4</xdr:row>
      <xdr:rowOff>171449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9075" y="180975"/>
          <a:ext cx="2059402" cy="752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3</xdr:col>
      <xdr:colOff>276225</xdr:colOff>
      <xdr:row>3</xdr:row>
      <xdr:rowOff>186837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28650" y="76200"/>
          <a:ext cx="1866900" cy="6821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0</xdr:row>
      <xdr:rowOff>133350</xdr:rowOff>
    </xdr:from>
    <xdr:to>
      <xdr:col>18</xdr:col>
      <xdr:colOff>323850</xdr:colOff>
      <xdr:row>63</xdr:row>
      <xdr:rowOff>57149</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333375" y="133350"/>
          <a:ext cx="10963275" cy="11972924"/>
        </a:xfrm>
        <a:prstGeom prst="rect">
          <a:avLst/>
        </a:prstGeom>
        <a:no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CA" sz="1100"/>
        </a:p>
      </xdr:txBody>
    </xdr:sp>
    <xdr:clientData/>
  </xdr:twoCellAnchor>
  <xdr:twoCellAnchor editAs="oneCell">
    <xdr:from>
      <xdr:col>1</xdr:col>
      <xdr:colOff>0</xdr:colOff>
      <xdr:row>1</xdr:row>
      <xdr:rowOff>0</xdr:rowOff>
    </xdr:from>
    <xdr:to>
      <xdr:col>3</xdr:col>
      <xdr:colOff>381000</xdr:colOff>
      <xdr:row>4</xdr:row>
      <xdr:rowOff>66675</xdr:rowOff>
    </xdr:to>
    <xdr:pic>
      <xdr:nvPicPr>
        <xdr:cNvPr id="5" name="Pictur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1600200"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144781</xdr:colOff>
      <xdr:row>18</xdr:row>
      <xdr:rowOff>142873</xdr:rowOff>
    </xdr:from>
    <xdr:to>
      <xdr:col>11</xdr:col>
      <xdr:colOff>0</xdr:colOff>
      <xdr:row>41</xdr:row>
      <xdr:rowOff>180975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210029</xdr:colOff>
      <xdr:row>18</xdr:row>
      <xdr:rowOff>141444</xdr:rowOff>
    </xdr:from>
    <xdr:to>
      <xdr:col>24</xdr:col>
      <xdr:colOff>0</xdr:colOff>
      <xdr:row>41</xdr:row>
      <xdr:rowOff>171450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190500</xdr:colOff>
      <xdr:row>46</xdr:row>
      <xdr:rowOff>0</xdr:rowOff>
    </xdr:from>
    <xdr:to>
      <xdr:col>24</xdr:col>
      <xdr:colOff>74294</xdr:colOff>
      <xdr:row>65</xdr:row>
      <xdr:rowOff>114302</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381000</xdr:colOff>
      <xdr:row>0</xdr:row>
      <xdr:rowOff>95250</xdr:rowOff>
    </xdr:from>
    <xdr:to>
      <xdr:col>18</xdr:col>
      <xdr:colOff>371475</xdr:colOff>
      <xdr:row>42</xdr:row>
      <xdr:rowOff>19049</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381000" y="95250"/>
          <a:ext cx="10963275" cy="7972424"/>
        </a:xfrm>
        <a:prstGeom prst="rect">
          <a:avLst/>
        </a:prstGeom>
        <a:no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CA" sz="1100"/>
        </a:p>
      </xdr:txBody>
    </xdr:sp>
    <xdr:clientData/>
  </xdr:twoCellAnchor>
  <xdr:oneCellAnchor>
    <xdr:from>
      <xdr:col>1</xdr:col>
      <xdr:colOff>38100</xdr:colOff>
      <xdr:row>0</xdr:row>
      <xdr:rowOff>180975</xdr:rowOff>
    </xdr:from>
    <xdr:ext cx="1511935" cy="597535"/>
    <xdr:pic>
      <xdr:nvPicPr>
        <xdr:cNvPr id="5" name="Picture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180975"/>
          <a:ext cx="1511935" cy="5975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3809</xdr:colOff>
      <xdr:row>19</xdr:row>
      <xdr:rowOff>171450</xdr:rowOff>
    </xdr:from>
    <xdr:to>
      <xdr:col>12</xdr:col>
      <xdr:colOff>523875</xdr:colOff>
      <xdr:row>39</xdr:row>
      <xdr:rowOff>104775</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352425</xdr:colOff>
      <xdr:row>19</xdr:row>
      <xdr:rowOff>180974</xdr:rowOff>
    </xdr:from>
    <xdr:to>
      <xdr:col>26</xdr:col>
      <xdr:colOff>371475</xdr:colOff>
      <xdr:row>39</xdr:row>
      <xdr:rowOff>114299</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142875</xdr:colOff>
      <xdr:row>41</xdr:row>
      <xdr:rowOff>133350</xdr:rowOff>
    </xdr:from>
    <xdr:to>
      <xdr:col>22</xdr:col>
      <xdr:colOff>558166</xdr:colOff>
      <xdr:row>60</xdr:row>
      <xdr:rowOff>95250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322438</xdr:colOff>
      <xdr:row>31</xdr:row>
      <xdr:rowOff>84976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1295238" cy="59904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144781</xdr:colOff>
      <xdr:row>19</xdr:row>
      <xdr:rowOff>85723</xdr:rowOff>
    </xdr:from>
    <xdr:to>
      <xdr:col>8</xdr:col>
      <xdr:colOff>0</xdr:colOff>
      <xdr:row>42</xdr:row>
      <xdr:rowOff>104775</xdr:rowOff>
    </xdr:to>
    <xdr:graphicFrame macro="">
      <xdr:nvGraphicFramePr>
        <xdr:cNvPr id="2" name="Chart 1">
          <a:extLst>
            <a:ext uri="{FF2B5EF4-FFF2-40B4-BE49-F238E27FC236}">
              <a16:creationId xmlns:a16="http://schemas.microsoft.com/office/drawing/2014/main" id="{E3532F64-944C-4A96-A961-5AF934765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happe\AppData\Local\Microsoft\Windows\INetCache\Content.Outlook\1FCJGYIM\FINAL_Surveillance_Reporting_Form_IPAC%20Canada%20definitions_FINAL%20locked%20Sep%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Glossary"/>
      <sheetName val="Inf instructions"/>
      <sheetName val="ARO instructions"/>
      <sheetName val="Staff Surveillance instructions"/>
      <sheetName val="AROs Master Sheet"/>
      <sheetName val="Sheet39"/>
      <sheetName val="Master Data Sheet"/>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5:AE239" totalsRowShown="0" headerRowDxfId="79" dataDxfId="78" tableBorderDxfId="77">
  <autoFilter ref="B5:AE239" xr:uid="{00000000-0009-0000-0100-000002000000}"/>
  <tableColumns count="30">
    <tableColumn id="1" xr3:uid="{00000000-0010-0000-0000-000001000000}" name="Month" dataDxfId="76"/>
    <tableColumn id="3" xr3:uid="{00000000-0010-0000-0000-000003000000}" name="Resident Name" dataDxfId="75"/>
    <tableColumn id="4" xr3:uid="{00000000-0010-0000-0000-000004000000}" name="Unit" dataDxfId="74"/>
    <tableColumn id="5" xr3:uid="{00000000-0010-0000-0000-000005000000}" name="Room #" dataDxfId="73"/>
    <tableColumn id="6" xr3:uid="{00000000-0010-0000-0000-000006000000}" name="Date Symptoms Started (dd/mm/yyyy)" dataDxfId="72"/>
    <tableColumn id="7" xr3:uid="{00000000-0010-0000-0000-000007000000}" name="Was the infection an HAI? (Y/N)" dataDxfId="71"/>
    <tableColumn id="8" xr3:uid="{00000000-0010-0000-0000-000008000000}" name="Temperature (°C)" dataDxfId="70"/>
    <tableColumn id="10" xr3:uid="{00000000-0010-0000-0000-00000A000000}" name="Fever (Calculated)" dataDxfId="69">
      <calculatedColumnFormula>IF(H6&gt;=37.8,"Yes","No")</calculatedColumnFormula>
    </tableColumn>
    <tableColumn id="11" xr3:uid="{00000000-0010-0000-0000-00000B000000}" name="COVID-19" dataDxfId="68"/>
    <tableColumn id="12" xr3:uid="{00000000-0010-0000-0000-00000C000000}" name="Influenza" dataDxfId="67"/>
    <tableColumn id="19" xr3:uid="{00000000-0010-0000-0000-000013000000}" name="Pneumonia" dataDxfId="66"/>
    <tableColumn id="20" xr3:uid="{00000000-0010-0000-0000-000014000000}" name="Lower Respiratory Tract Infection" dataDxfId="65"/>
    <tableColumn id="13" xr3:uid="{00000000-0010-0000-0000-00000D000000}" name="Upper Respiratory Tract Infection" dataDxfId="64"/>
    <tableColumn id="34" xr3:uid="{00000000-0010-0000-0000-000022000000}" name="Gastroenteritis" dataDxfId="63"/>
    <tableColumn id="35" xr3:uid="{00000000-0010-0000-0000-000023000000}" name="Norovirus" dataDxfId="62"/>
    <tableColumn id="36" xr3:uid="{00000000-0010-0000-0000-000024000000}" name="C. difficile" dataDxfId="61"/>
    <tableColumn id="49" xr3:uid="{00000000-0010-0000-0000-000031000000}" name="CAUTI (catheter-associated UTI)" dataDxfId="60"/>
    <tableColumn id="50" xr3:uid="{00000000-0010-0000-0000-000032000000}" name="UTI - NO indwelling catheter" dataDxfId="59"/>
    <tableColumn id="51" xr3:uid="{00000000-0010-0000-0000-000033000000}" name="Conjunctivitis" dataDxfId="58"/>
    <tableColumn id="65" xr3:uid="{00000000-0010-0000-0000-000041000000}" name="Mouth/Perioral infection" dataDxfId="57">
      <calculatedColumnFormula>IF(Infections!#REF!="X",1,0)</calculatedColumnFormula>
    </tableColumn>
    <tableColumn id="67" xr3:uid="{00000000-0010-0000-0000-000043000000}" name="Cellulitis/Soft Tissue/Wound" dataDxfId="56"/>
    <tableColumn id="68" xr3:uid="{00000000-0010-0000-0000-000044000000}" name="Fungal" dataDxfId="55">
      <calculatedColumnFormula>SUM(Infections!$U6:$U6)</calculatedColumnFormula>
    </tableColumn>
    <tableColumn id="69" xr3:uid="{00000000-0010-0000-0000-000045000000}" name="Herpes virus" dataDxfId="54">
      <calculatedColumnFormula>IF(AND(Infections!$I6="X",Infections!$W6&gt;=1),1,0)</calculatedColumnFormula>
    </tableColumn>
    <tableColumn id="70" xr3:uid="{00000000-0010-0000-0000-000046000000}" name="Scabies" dataDxfId="53">
      <calculatedColumnFormula>IF(Infections!$W6&gt;=2,1,0)</calculatedColumnFormula>
    </tableColumn>
    <tableColumn id="71" xr3:uid="{00000000-0010-0000-0000-000047000000}" name="Primary Bloodstream Infection" dataDxfId="52">
      <calculatedColumnFormula>IF(AND(Infections!#REF!="X",Infections!#REF!&gt;=1,#REF!=""),"Yes",IF(AND(Infections!#REF!="X",Infections!$X6&gt;=1,#REF!=""),"Yes",IF(AND(Infections!#REF!="X",Infections!$Y6&gt;=2,#REF!=""),"Yes","No")))</calculatedColumnFormula>
    </tableColumn>
    <tableColumn id="72" xr3:uid="{00000000-0010-0000-0000-000048000000}" name="Unexplained febrile episode" dataDxfId="51">
      <calculatedColumnFormula>IF(AND(Infections!#REF!="X",Infections!#REF!&gt;=1,#REF!=""),"Yes",IF(AND(Infections!#REF!="X",Infections!$X6&gt;=1,#REF!=""),"Yes",IF(AND(Infections!#REF!="X",Infections!$Y6&gt;=2,#REF!=""),"Yes","No")))</calculatedColumnFormula>
    </tableColumn>
    <tableColumn id="9" xr3:uid="{00000000-0010-0000-0000-000009000000}" name="Optional 1" dataDxfId="50"/>
    <tableColumn id="2" xr3:uid="{00000000-0010-0000-0000-000002000000}" name="Optional 2" dataDxfId="49"/>
    <tableColumn id="73" xr3:uid="{00000000-0010-0000-0000-000049000000}" name="Physician Diagnosed" dataDxfId="48">
      <calculatedColumnFormula>SUM(Infections!#REF!,Infections!$V6,Infections!#REF!,Infections!#REF!,Infections!$S6)</calculatedColumnFormula>
    </tableColumn>
    <tableColumn id="102" xr3:uid="{00000000-0010-0000-0000-000066000000}" name="Comments" dataDxfId="47"/>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 displayName="Table1" ref="A5:N228" totalsRowShown="0" headerRowDxfId="46" dataDxfId="45">
  <autoFilter ref="A5:N228" xr:uid="{00000000-0009-0000-0100-000004000000}"/>
  <tableColumns count="14">
    <tableColumn id="1" xr3:uid="{00000000-0010-0000-0100-000001000000}" name="Month" dataDxfId="44"/>
    <tableColumn id="3" xr3:uid="{00000000-0010-0000-0100-000003000000}" name="Resident Name" dataDxfId="43"/>
    <tableColumn id="4" xr3:uid="{00000000-0010-0000-0100-000004000000}" name="Unit" dataDxfId="42"/>
    <tableColumn id="5" xr3:uid="{00000000-0010-0000-0100-000005000000}" name="Room #" dataDxfId="41"/>
    <tableColumn id="6" xr3:uid="{00000000-0010-0000-0100-000006000000}" name="Date of specimen collection (dd/mm/yyyy)" dataDxfId="40"/>
    <tableColumn id="7" xr3:uid="{00000000-0010-0000-0100-000007000000}" name="Was the colonization/infection an HAI? (Y/N)" dataDxfId="39"/>
    <tableColumn id="8" xr3:uid="{00000000-0010-0000-0100-000008000000}" name="MRSA Colonized" dataDxfId="38"/>
    <tableColumn id="2" xr3:uid="{00000000-0010-0000-0100-000002000000}" name="MRSA Infected" dataDxfId="37"/>
    <tableColumn id="17" xr3:uid="{00000000-0010-0000-0100-000011000000}" name="VRE BSIs" dataDxfId="36"/>
    <tableColumn id="21" xr3:uid="{00000000-0010-0000-0100-000015000000}" name="CPE Colonized" dataDxfId="35"/>
    <tableColumn id="22" xr3:uid="{00000000-0010-0000-0100-000016000000}" name="CPE Infected" dataDxfId="34"/>
    <tableColumn id="10" xr3:uid="{00000000-0010-0000-0100-00000A000000}" name="ESBL Colonized" dataDxfId="33"/>
    <tableColumn id="9" xr3:uid="{00000000-0010-0000-0100-000009000000}" name="ESBL Infected" dataDxfId="32"/>
    <tableColumn id="29" xr3:uid="{00000000-0010-0000-0100-00001D000000}" name="Comments" dataDxfId="31"/>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taff" displayName="Staff" ref="B5:X239" totalsRowShown="0" headerRowDxfId="30" dataDxfId="29" tableBorderDxfId="28">
  <autoFilter ref="B5:X239" xr:uid="{00000000-0009-0000-0100-000003000000}"/>
  <tableColumns count="23">
    <tableColumn id="1" xr3:uid="{00000000-0010-0000-0200-000001000000}" name="Month" dataDxfId="27"/>
    <tableColumn id="3" xr3:uid="{00000000-0010-0000-0200-000003000000}" name="Staff Name" dataDxfId="26"/>
    <tableColumn id="4" xr3:uid="{00000000-0010-0000-0200-000004000000}" name="Unit" dataDxfId="25"/>
    <tableColumn id="5" xr3:uid="{00000000-0010-0000-0200-000005000000}" name="Room #" dataDxfId="24"/>
    <tableColumn id="6" xr3:uid="{00000000-0010-0000-0200-000006000000}" name="Date Symptoms Started (dd/mm/yyyy)" dataDxfId="23"/>
    <tableColumn id="7" xr3:uid="{00000000-0010-0000-0200-000007000000}" name="Last date worked" dataDxfId="22"/>
    <tableColumn id="8" xr3:uid="{00000000-0010-0000-0200-000008000000}" name="Temperature (°C)" dataDxfId="21"/>
    <tableColumn id="10" xr3:uid="{00000000-0010-0000-0200-00000A000000}" name="Fever (Calculated)" dataDxfId="20">
      <calculatedColumnFormula>IF(H6&gt;=37.8,"Yes","No")</calculatedColumnFormula>
    </tableColumn>
    <tableColumn id="11" xr3:uid="{00000000-0010-0000-0200-00000B000000}" name="COVID-19" dataDxfId="19"/>
    <tableColumn id="12" xr3:uid="{00000000-0010-0000-0200-00000C000000}" name="Influenza" dataDxfId="18"/>
    <tableColumn id="19" xr3:uid="{00000000-0010-0000-0200-000013000000}" name="Pneumonia" dataDxfId="17"/>
    <tableColumn id="20" xr3:uid="{00000000-0010-0000-0200-000014000000}" name="Lower Respiratory Tract Infection" dataDxfId="16"/>
    <tableColumn id="13" xr3:uid="{00000000-0010-0000-0200-00000D000000}" name="Upper Respiratory Tract Infection" dataDxfId="15"/>
    <tableColumn id="34" xr3:uid="{00000000-0010-0000-0200-000022000000}" name="Gastroenteritis" dataDxfId="14"/>
    <tableColumn id="35" xr3:uid="{00000000-0010-0000-0200-000023000000}" name="Norovirus" dataDxfId="13"/>
    <tableColumn id="67" xr3:uid="{00000000-0010-0000-0200-000043000000}" name="Cellulitis/Soft Tissue/Wound" dataDxfId="12"/>
    <tableColumn id="68" xr3:uid="{00000000-0010-0000-0200-000044000000}" name="Fungal" dataDxfId="11">
      <calculatedColumnFormula>SUM(Infections!$U6:$U6)</calculatedColumnFormula>
    </tableColumn>
    <tableColumn id="69" xr3:uid="{00000000-0010-0000-0200-000045000000}" name="Herpes virus" dataDxfId="10">
      <calculatedColumnFormula>IF(AND(Infections!$I6="X",Infections!$W6&gt;=1),1,0)</calculatedColumnFormula>
    </tableColumn>
    <tableColumn id="70" xr3:uid="{00000000-0010-0000-0200-000046000000}" name="Scabies" dataDxfId="9">
      <calculatedColumnFormula>IF(Infections!$W6&gt;=2,1,0)</calculatedColumnFormula>
    </tableColumn>
    <tableColumn id="9" xr3:uid="{00000000-0010-0000-0200-000009000000}" name="Optional 1" dataDxfId="8"/>
    <tableColumn id="2" xr3:uid="{00000000-0010-0000-0200-000002000000}" name="Optional 2" dataDxfId="7"/>
    <tableColumn id="73" xr3:uid="{00000000-0010-0000-0200-000049000000}" name="Physician Diagnosed" dataDxfId="6">
      <calculatedColumnFormula>SUM(Infections!#REF!,Infections!$V6,Infections!#REF!,Infections!#REF!,Infections!$S6)</calculatedColumnFormula>
    </tableColumn>
    <tableColumn id="102" xr3:uid="{00000000-0010-0000-0200-000066000000}" name="Comments" dataDxfId="5"/>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Table13" displayName="Table13" ref="A1:Q17" totalsRowShown="0">
  <autoFilter ref="A1:Q17" xr:uid="{00000000-0009-0000-0100-00000D000000}"/>
  <tableColumns count="17">
    <tableColumn id="1" xr3:uid="{00000000-0010-0000-0300-000001000000}" name="Village"/>
    <tableColumn id="2" xr3:uid="{00000000-0010-0000-0300-000002000000}" name="Month"/>
    <tableColumn id="3" xr3:uid="{00000000-0010-0000-0300-000003000000}" name="Resident Name"/>
    <tableColumn id="4" xr3:uid="{00000000-0010-0000-0300-000004000000}" name="Neighbourhood"/>
    <tableColumn id="5" xr3:uid="{00000000-0010-0000-0300-000005000000}" name="Room #"/>
    <tableColumn id="6" xr3:uid="{00000000-0010-0000-0300-000006000000}" name="Date"/>
    <tableColumn id="7" xr3:uid="{00000000-0010-0000-0300-000007000000}" name="MRSA"/>
    <tableColumn id="8" xr3:uid="{00000000-0010-0000-0300-000008000000}" name="VRE"/>
    <tableColumn id="9" xr3:uid="{00000000-0010-0000-0300-000009000000}" name="ESBL"/>
    <tableColumn id="10" xr3:uid="{00000000-0010-0000-0300-00000A000000}" name="CPE"/>
    <tableColumn id="11" xr3:uid="{00000000-0010-0000-0300-00000B000000}" name="HIV"/>
    <tableColumn id="12" xr3:uid="{00000000-0010-0000-0300-00000C000000}" name="Hepatitis"/>
    <tableColumn id="13" xr3:uid="{00000000-0010-0000-0300-00000D000000}" name="Type"/>
    <tableColumn id="14" xr3:uid="{00000000-0010-0000-0300-00000E000000}" name="Type of Swab"/>
    <tableColumn id="15" xr3:uid="{00000000-0010-0000-0300-00000F000000}" name="Date of Swab" dataDxfId="4"/>
    <tableColumn id="16" xr3:uid="{00000000-0010-0000-0300-000010000000}" name="Status of ARO"/>
    <tableColumn id="17" xr3:uid="{00000000-0010-0000-0300-000011000000}" name="Comments"/>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Schlegel">
      <a:dk1>
        <a:sysClr val="windowText" lastClr="000000"/>
      </a:dk1>
      <a:lt1>
        <a:sysClr val="window" lastClr="FFFFFF"/>
      </a:lt1>
      <a:dk2>
        <a:srgbClr val="899064"/>
      </a:dk2>
      <a:lt2>
        <a:srgbClr val="FFFFFF"/>
      </a:lt2>
      <a:accent1>
        <a:srgbClr val="7F9C90"/>
      </a:accent1>
      <a:accent2>
        <a:srgbClr val="AB5C57"/>
      </a:accent2>
      <a:accent3>
        <a:srgbClr val="4F758B"/>
      </a:accent3>
      <a:accent4>
        <a:srgbClr val="B9975B"/>
      </a:accent4>
      <a:accent5>
        <a:srgbClr val="D2CE9E"/>
      </a:accent5>
      <a:accent6>
        <a:srgbClr val="63513D"/>
      </a:accent6>
      <a:hlink>
        <a:srgbClr val="231F20"/>
      </a:hlink>
      <a:folHlink>
        <a:srgbClr val="737B4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5:T56"/>
  <sheetViews>
    <sheetView showGridLines="0" tabSelected="1" workbookViewId="0">
      <selection activeCell="A6" sqref="A6"/>
    </sheetView>
  </sheetViews>
  <sheetFormatPr defaultRowHeight="14.4" x14ac:dyDescent="0.3"/>
  <cols>
    <col min="3" max="3" width="19.6640625" customWidth="1"/>
  </cols>
  <sheetData>
    <row r="5" spans="2:20" ht="15" thickBot="1" x14ac:dyDescent="0.35"/>
    <row r="6" spans="2:20" x14ac:dyDescent="0.3">
      <c r="B6" s="178"/>
      <c r="C6" s="179"/>
      <c r="D6" s="179"/>
      <c r="E6" s="179"/>
      <c r="F6" s="179"/>
      <c r="G6" s="179"/>
      <c r="H6" s="179"/>
      <c r="I6" s="179"/>
      <c r="J6" s="179"/>
      <c r="K6" s="179"/>
      <c r="L6" s="179"/>
      <c r="M6" s="179"/>
      <c r="N6" s="179"/>
      <c r="O6" s="179"/>
      <c r="P6" s="179"/>
      <c r="Q6" s="179"/>
      <c r="R6" s="179"/>
      <c r="S6" s="179"/>
      <c r="T6" s="180"/>
    </row>
    <row r="7" spans="2:20" ht="15" customHeight="1" x14ac:dyDescent="0.3">
      <c r="B7" s="181"/>
      <c r="C7" s="104" t="s">
        <v>277</v>
      </c>
      <c r="T7" s="182"/>
    </row>
    <row r="8" spans="2:20" ht="18.75" customHeight="1" x14ac:dyDescent="0.3">
      <c r="B8" s="181"/>
      <c r="D8" s="104"/>
      <c r="T8" s="182"/>
    </row>
    <row r="9" spans="2:20" ht="15" customHeight="1" x14ac:dyDescent="0.3">
      <c r="B9" s="181"/>
      <c r="C9" s="183" t="s">
        <v>278</v>
      </c>
      <c r="T9" s="182"/>
    </row>
    <row r="10" spans="2:20" ht="15" customHeight="1" x14ac:dyDescent="0.3">
      <c r="B10" s="181"/>
      <c r="C10" s="183" t="s">
        <v>279</v>
      </c>
      <c r="T10" s="182"/>
    </row>
    <row r="11" spans="2:20" ht="15" customHeight="1" x14ac:dyDescent="0.3">
      <c r="B11" s="181"/>
      <c r="C11" s="183" t="s">
        <v>280</v>
      </c>
      <c r="T11" s="182"/>
    </row>
    <row r="12" spans="2:20" x14ac:dyDescent="0.3">
      <c r="B12" s="181"/>
      <c r="T12" s="182"/>
    </row>
    <row r="13" spans="2:20" ht="15" customHeight="1" x14ac:dyDescent="0.3">
      <c r="B13" s="181"/>
      <c r="C13" s="184" t="s">
        <v>155</v>
      </c>
      <c r="T13" s="182"/>
    </row>
    <row r="14" spans="2:20" ht="15" customHeight="1" x14ac:dyDescent="0.3">
      <c r="B14" s="181"/>
      <c r="C14" s="105" t="s">
        <v>281</v>
      </c>
      <c r="T14" s="182"/>
    </row>
    <row r="15" spans="2:20" ht="15" customHeight="1" x14ac:dyDescent="0.3">
      <c r="B15" s="181"/>
      <c r="C15" t="s">
        <v>262</v>
      </c>
      <c r="T15" s="182"/>
    </row>
    <row r="16" spans="2:20" ht="15" customHeight="1" x14ac:dyDescent="0.3">
      <c r="B16" s="181"/>
      <c r="C16" t="s">
        <v>282</v>
      </c>
      <c r="T16" s="182"/>
    </row>
    <row r="17" spans="2:20" x14ac:dyDescent="0.3">
      <c r="B17" s="181"/>
      <c r="T17" s="182"/>
    </row>
    <row r="18" spans="2:20" ht="15" customHeight="1" x14ac:dyDescent="0.3">
      <c r="B18" s="181"/>
      <c r="C18" s="185" t="s">
        <v>156</v>
      </c>
      <c r="T18" s="182"/>
    </row>
    <row r="19" spans="2:20" x14ac:dyDescent="0.3">
      <c r="B19" s="181"/>
      <c r="T19" s="182"/>
    </row>
    <row r="20" spans="2:20" ht="15" customHeight="1" x14ac:dyDescent="0.3">
      <c r="B20" s="181"/>
      <c r="C20" s="186" t="s">
        <v>157</v>
      </c>
      <c r="D20" t="s">
        <v>283</v>
      </c>
      <c r="T20" s="182"/>
    </row>
    <row r="21" spans="2:20" ht="15" customHeight="1" x14ac:dyDescent="0.3">
      <c r="B21" s="181"/>
      <c r="C21" s="186" t="s">
        <v>160</v>
      </c>
      <c r="D21" t="s">
        <v>161</v>
      </c>
      <c r="T21" s="182"/>
    </row>
    <row r="22" spans="2:20" ht="15" customHeight="1" x14ac:dyDescent="0.3">
      <c r="B22" s="181"/>
      <c r="C22" s="186" t="s">
        <v>158</v>
      </c>
      <c r="D22" t="s">
        <v>284</v>
      </c>
      <c r="T22" s="182"/>
    </row>
    <row r="23" spans="2:20" ht="15" customHeight="1" x14ac:dyDescent="0.3">
      <c r="B23" s="181"/>
      <c r="C23" s="186" t="s">
        <v>159</v>
      </c>
      <c r="D23" t="s">
        <v>285</v>
      </c>
      <c r="T23" s="182"/>
    </row>
    <row r="24" spans="2:20" ht="15" customHeight="1" x14ac:dyDescent="0.3">
      <c r="B24" s="181"/>
      <c r="C24" s="186"/>
      <c r="D24" t="s">
        <v>286</v>
      </c>
      <c r="T24" s="182"/>
    </row>
    <row r="25" spans="2:20" ht="15" customHeight="1" x14ac:dyDescent="0.3">
      <c r="B25" s="181"/>
      <c r="C25" s="186" t="s">
        <v>266</v>
      </c>
      <c r="D25" t="s">
        <v>287</v>
      </c>
      <c r="T25" s="182"/>
    </row>
    <row r="26" spans="2:20" ht="15" customHeight="1" x14ac:dyDescent="0.3">
      <c r="B26" s="181"/>
      <c r="C26" s="186" t="s">
        <v>162</v>
      </c>
      <c r="D26" t="s">
        <v>163</v>
      </c>
      <c r="T26" s="182"/>
    </row>
    <row r="27" spans="2:20" ht="15" customHeight="1" x14ac:dyDescent="0.3">
      <c r="B27" s="181"/>
      <c r="C27" s="186" t="s">
        <v>164</v>
      </c>
      <c r="D27" t="s">
        <v>288</v>
      </c>
      <c r="T27" s="182"/>
    </row>
    <row r="28" spans="2:20" ht="15" customHeight="1" x14ac:dyDescent="0.3">
      <c r="B28" s="181"/>
      <c r="D28" t="s">
        <v>289</v>
      </c>
      <c r="T28" s="182"/>
    </row>
    <row r="29" spans="2:20" ht="15" customHeight="1" x14ac:dyDescent="0.3">
      <c r="B29" s="181"/>
      <c r="C29" s="186" t="s">
        <v>290</v>
      </c>
      <c r="D29" t="s">
        <v>302</v>
      </c>
      <c r="T29" s="182"/>
    </row>
    <row r="30" spans="2:20" ht="15" customHeight="1" x14ac:dyDescent="0.3">
      <c r="B30" s="181"/>
      <c r="C30" s="186" t="s">
        <v>291</v>
      </c>
      <c r="D30" t="s">
        <v>292</v>
      </c>
      <c r="T30" s="182"/>
    </row>
    <row r="31" spans="2:20" ht="15" customHeight="1" x14ac:dyDescent="0.3">
      <c r="B31" s="181"/>
      <c r="C31" s="186" t="s">
        <v>293</v>
      </c>
      <c r="D31" t="s">
        <v>303</v>
      </c>
      <c r="T31" s="182"/>
    </row>
    <row r="32" spans="2:20" x14ac:dyDescent="0.3">
      <c r="B32" s="181"/>
      <c r="T32" s="182"/>
    </row>
    <row r="33" spans="2:20" ht="15" customHeight="1" x14ac:dyDescent="0.3">
      <c r="B33" s="181"/>
      <c r="C33" s="185" t="s">
        <v>165</v>
      </c>
      <c r="T33" s="182"/>
    </row>
    <row r="34" spans="2:20" ht="15" customHeight="1" x14ac:dyDescent="0.3">
      <c r="B34" s="181"/>
      <c r="C34" t="s">
        <v>166</v>
      </c>
      <c r="T34" s="182"/>
    </row>
    <row r="35" spans="2:20" ht="15" customHeight="1" x14ac:dyDescent="0.3">
      <c r="B35" s="181"/>
      <c r="C35" t="s">
        <v>294</v>
      </c>
      <c r="T35" s="182"/>
    </row>
    <row r="36" spans="2:20" ht="15" customHeight="1" x14ac:dyDescent="0.3">
      <c r="B36" s="181"/>
      <c r="C36" t="s">
        <v>167</v>
      </c>
      <c r="T36" s="182"/>
    </row>
    <row r="37" spans="2:20" ht="15" customHeight="1" x14ac:dyDescent="0.3">
      <c r="B37" s="181"/>
      <c r="T37" s="182"/>
    </row>
    <row r="38" spans="2:20" ht="15" customHeight="1" x14ac:dyDescent="0.3">
      <c r="B38" s="181"/>
      <c r="C38" s="185" t="s">
        <v>168</v>
      </c>
      <c r="T38" s="182"/>
    </row>
    <row r="39" spans="2:20" ht="15" customHeight="1" x14ac:dyDescent="0.3">
      <c r="B39" s="181"/>
      <c r="C39" t="s">
        <v>169</v>
      </c>
      <c r="T39" s="182"/>
    </row>
    <row r="40" spans="2:20" ht="15" customHeight="1" x14ac:dyDescent="0.3">
      <c r="B40" s="181"/>
      <c r="C40" t="s">
        <v>295</v>
      </c>
      <c r="T40" s="182"/>
    </row>
    <row r="41" spans="2:20" ht="15" customHeight="1" x14ac:dyDescent="0.3">
      <c r="B41" s="181"/>
      <c r="C41" t="s">
        <v>267</v>
      </c>
      <c r="T41" s="182"/>
    </row>
    <row r="42" spans="2:20" x14ac:dyDescent="0.3">
      <c r="B42" s="181"/>
      <c r="C42" t="s">
        <v>268</v>
      </c>
      <c r="T42" s="182"/>
    </row>
    <row r="43" spans="2:20" x14ac:dyDescent="0.3">
      <c r="B43" s="181"/>
      <c r="T43" s="182"/>
    </row>
    <row r="44" spans="2:20" ht="15" customHeight="1" x14ac:dyDescent="0.3">
      <c r="B44" s="181"/>
      <c r="C44" s="185" t="s">
        <v>170</v>
      </c>
      <c r="T44" s="182"/>
    </row>
    <row r="45" spans="2:20" ht="15" customHeight="1" x14ac:dyDescent="0.3">
      <c r="B45" s="181"/>
      <c r="C45" t="s">
        <v>269</v>
      </c>
      <c r="T45" s="182"/>
    </row>
    <row r="46" spans="2:20" x14ac:dyDescent="0.3">
      <c r="B46" s="181"/>
      <c r="T46" s="182"/>
    </row>
    <row r="47" spans="2:20" ht="15" customHeight="1" x14ac:dyDescent="0.3">
      <c r="B47" s="181"/>
      <c r="C47" s="185" t="s">
        <v>171</v>
      </c>
      <c r="T47" s="182"/>
    </row>
    <row r="48" spans="2:20" ht="15" customHeight="1" x14ac:dyDescent="0.3">
      <c r="B48" s="181"/>
      <c r="C48" s="32" t="s">
        <v>263</v>
      </c>
      <c r="D48" s="32"/>
      <c r="E48" s="32"/>
      <c r="F48" s="32"/>
      <c r="G48" s="32"/>
      <c r="H48" s="32"/>
      <c r="I48" s="32"/>
      <c r="J48" s="32"/>
      <c r="K48" s="32"/>
      <c r="L48" s="32"/>
      <c r="M48" s="32"/>
      <c r="N48" s="32"/>
      <c r="O48" s="32"/>
      <c r="P48" s="32"/>
      <c r="Q48" s="32"/>
      <c r="R48" s="32"/>
      <c r="S48" s="32"/>
      <c r="T48" s="182"/>
    </row>
    <row r="49" spans="2:20" ht="15" customHeight="1" x14ac:dyDescent="0.3">
      <c r="B49" s="181"/>
      <c r="C49" t="s">
        <v>264</v>
      </c>
      <c r="T49" s="182"/>
    </row>
    <row r="50" spans="2:20" ht="15" customHeight="1" x14ac:dyDescent="0.3">
      <c r="B50" s="181"/>
      <c r="C50" t="s">
        <v>265</v>
      </c>
      <c r="T50" s="182"/>
    </row>
    <row r="51" spans="2:20" x14ac:dyDescent="0.3">
      <c r="B51" s="181"/>
      <c r="T51" s="182"/>
    </row>
    <row r="52" spans="2:20" ht="15" customHeight="1" x14ac:dyDescent="0.3">
      <c r="B52" s="181"/>
      <c r="C52" s="185" t="s">
        <v>261</v>
      </c>
      <c r="T52" s="182"/>
    </row>
    <row r="53" spans="2:20" ht="15" customHeight="1" x14ac:dyDescent="0.3">
      <c r="B53" s="181"/>
      <c r="C53" t="s">
        <v>296</v>
      </c>
      <c r="T53" s="182"/>
    </row>
    <row r="54" spans="2:20" ht="15" customHeight="1" x14ac:dyDescent="0.3">
      <c r="B54" s="181"/>
      <c r="C54" t="s">
        <v>297</v>
      </c>
      <c r="T54" s="182"/>
    </row>
    <row r="55" spans="2:20" ht="15" thickBot="1" x14ac:dyDescent="0.35">
      <c r="B55" s="187"/>
      <c r="C55" s="188"/>
      <c r="D55" s="188"/>
      <c r="E55" s="188"/>
      <c r="F55" s="188"/>
      <c r="G55" s="188"/>
      <c r="H55" s="188"/>
      <c r="I55" s="188"/>
      <c r="J55" s="188"/>
      <c r="K55" s="188"/>
      <c r="L55" s="188"/>
      <c r="M55" s="188"/>
      <c r="N55" s="188"/>
      <c r="O55" s="188"/>
      <c r="P55" s="188"/>
      <c r="Q55" s="188"/>
      <c r="R55" s="188"/>
      <c r="S55" s="188"/>
      <c r="T55" s="189"/>
    </row>
    <row r="56" spans="2:20" ht="15" customHeight="1" x14ac:dyDescent="0.3">
      <c r="C56" s="105"/>
    </row>
  </sheetData>
  <sheetProtection password="B56D" sheet="1" objects="1" scenarios="1"/>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F241"/>
  <sheetViews>
    <sheetView topLeftCell="A4" zoomScale="90" zoomScaleNormal="90" workbookViewId="0">
      <selection activeCell="V4" sqref="V4"/>
    </sheetView>
  </sheetViews>
  <sheetFormatPr defaultColWidth="9.109375" defaultRowHeight="14.4" x14ac:dyDescent="0.3"/>
  <cols>
    <col min="1" max="1" width="2.33203125" style="110" customWidth="1"/>
    <col min="2" max="2" width="9.88671875" style="110" customWidth="1"/>
    <col min="3" max="3" width="21" style="110" customWidth="1"/>
    <col min="4" max="4" width="15.5546875" style="110" customWidth="1"/>
    <col min="5" max="5" width="11.5546875" style="110" customWidth="1"/>
    <col min="6" max="6" width="14" style="110" customWidth="1"/>
    <col min="7" max="7" width="14.33203125" style="207" customWidth="1"/>
    <col min="8" max="8" width="14.33203125" style="110" customWidth="1"/>
    <col min="9" max="11" width="6.109375" style="110" customWidth="1"/>
    <col min="12" max="16" width="5.6640625" style="110" customWidth="1"/>
    <col min="17" max="17" width="6.109375" style="110" customWidth="1"/>
    <col min="18" max="18" width="4.5546875" style="110" customWidth="1"/>
    <col min="19" max="19" width="6" style="110" customWidth="1"/>
    <col min="20" max="20" width="4.5546875" style="110" customWidth="1"/>
    <col min="21" max="21" width="7.88671875" style="110" customWidth="1"/>
    <col min="22" max="22" width="6.5546875" style="110" customWidth="1"/>
    <col min="23" max="23" width="9.5546875" style="110" customWidth="1"/>
    <col min="24" max="24" width="23.44140625" style="110" customWidth="1"/>
    <col min="25" max="16384" width="9.109375" style="110"/>
  </cols>
  <sheetData>
    <row r="1" spans="1:58" ht="18" x14ac:dyDescent="0.35">
      <c r="A1" s="335" t="s">
        <v>322</v>
      </c>
      <c r="B1" s="335"/>
      <c r="C1" s="335"/>
      <c r="D1" s="335"/>
      <c r="E1" s="335"/>
      <c r="F1" s="335"/>
      <c r="G1" s="335"/>
      <c r="H1" s="335"/>
      <c r="I1" s="335"/>
      <c r="J1" s="335"/>
      <c r="K1" s="335"/>
      <c r="L1" s="335"/>
      <c r="M1" s="335"/>
      <c r="N1" s="335"/>
      <c r="O1" s="335"/>
      <c r="P1" s="335"/>
      <c r="Q1" s="335"/>
      <c r="R1" s="335"/>
      <c r="S1" s="335"/>
      <c r="T1" s="335"/>
      <c r="U1" s="335"/>
      <c r="V1" s="335"/>
      <c r="W1" s="335"/>
      <c r="X1" s="335"/>
    </row>
    <row r="2" spans="1:58" ht="15.6" x14ac:dyDescent="0.3">
      <c r="A2" s="111"/>
      <c r="B2" s="112"/>
      <c r="C2" s="112"/>
      <c r="D2" s="113" t="s">
        <v>273</v>
      </c>
      <c r="E2" s="260"/>
      <c r="F2" s="260"/>
      <c r="G2" s="203"/>
      <c r="H2" s="336" t="s">
        <v>327</v>
      </c>
      <c r="I2" s="336"/>
      <c r="J2" s="336"/>
      <c r="K2" s="336"/>
      <c r="L2" s="336"/>
      <c r="M2" s="336"/>
      <c r="N2" s="336"/>
      <c r="O2" s="336"/>
      <c r="P2" s="336"/>
      <c r="Q2" s="336"/>
      <c r="R2" s="336"/>
      <c r="S2" s="336"/>
      <c r="T2" s="336"/>
      <c r="U2" s="336"/>
      <c r="V2" s="336"/>
      <c r="W2" s="336"/>
      <c r="X2" s="336"/>
      <c r="Y2" s="248"/>
      <c r="BF2" s="110" t="s">
        <v>137</v>
      </c>
    </row>
    <row r="3" spans="1:58" ht="16.2" thickBot="1" x14ac:dyDescent="0.35">
      <c r="A3" s="111"/>
      <c r="B3" s="112"/>
      <c r="C3" s="112"/>
      <c r="D3" s="113" t="s">
        <v>121</v>
      </c>
      <c r="E3" s="261"/>
      <c r="F3" s="261"/>
      <c r="G3" s="204"/>
      <c r="H3" s="112"/>
      <c r="I3" s="112"/>
      <c r="J3" s="112"/>
      <c r="K3" s="112"/>
      <c r="L3" s="112"/>
      <c r="M3" s="112"/>
      <c r="N3" s="112"/>
      <c r="O3" s="112"/>
      <c r="P3" s="112"/>
      <c r="Q3" s="112"/>
      <c r="R3" s="112"/>
      <c r="S3" s="112"/>
      <c r="T3" s="112"/>
      <c r="U3" s="112"/>
      <c r="V3" s="112"/>
      <c r="W3" s="112"/>
      <c r="X3" s="112"/>
      <c r="Y3" s="248"/>
    </row>
    <row r="4" spans="1:58" ht="15" customHeight="1" thickBot="1" x14ac:dyDescent="0.35">
      <c r="A4" s="111"/>
      <c r="B4" s="112"/>
      <c r="C4" s="112"/>
      <c r="D4" s="112"/>
      <c r="E4" s="112"/>
      <c r="F4" s="112"/>
      <c r="G4" s="204"/>
      <c r="H4" s="112"/>
      <c r="I4" s="112"/>
      <c r="J4" s="267" t="s">
        <v>10</v>
      </c>
      <c r="K4" s="268"/>
      <c r="L4" s="268"/>
      <c r="M4" s="268"/>
      <c r="N4" s="269"/>
      <c r="O4" s="262" t="s">
        <v>143</v>
      </c>
      <c r="P4" s="263"/>
      <c r="Q4" s="243" t="s">
        <v>12</v>
      </c>
      <c r="R4" s="244"/>
      <c r="S4" s="244"/>
      <c r="T4" s="245"/>
      <c r="U4" s="114" t="s">
        <v>135</v>
      </c>
      <c r="V4" s="240" t="s">
        <v>135</v>
      </c>
      <c r="W4" s="256" t="s">
        <v>147</v>
      </c>
      <c r="X4" s="257"/>
      <c r="Y4" s="248"/>
    </row>
    <row r="5" spans="1:58" ht="165.75" customHeight="1" thickBot="1" x14ac:dyDescent="0.35">
      <c r="A5" s="111"/>
      <c r="B5" s="201" t="s">
        <v>1</v>
      </c>
      <c r="C5" s="201" t="s">
        <v>323</v>
      </c>
      <c r="D5" s="201" t="s">
        <v>272</v>
      </c>
      <c r="E5" s="201" t="s">
        <v>9</v>
      </c>
      <c r="F5" s="202" t="s">
        <v>153</v>
      </c>
      <c r="G5" s="202" t="s">
        <v>324</v>
      </c>
      <c r="H5" s="200" t="s">
        <v>148</v>
      </c>
      <c r="I5" s="200" t="s">
        <v>119</v>
      </c>
      <c r="J5" s="200" t="s">
        <v>312</v>
      </c>
      <c r="K5" s="200" t="s">
        <v>321</v>
      </c>
      <c r="L5" s="200" t="s">
        <v>4</v>
      </c>
      <c r="M5" s="200" t="s">
        <v>239</v>
      </c>
      <c r="N5" s="231" t="s">
        <v>314</v>
      </c>
      <c r="O5" s="200" t="s">
        <v>72</v>
      </c>
      <c r="P5" s="200" t="s">
        <v>73</v>
      </c>
      <c r="Q5" s="200" t="s">
        <v>126</v>
      </c>
      <c r="R5" s="200" t="s">
        <v>125</v>
      </c>
      <c r="S5" s="200" t="s">
        <v>132</v>
      </c>
      <c r="T5" s="200" t="s">
        <v>75</v>
      </c>
      <c r="U5" s="200" t="s">
        <v>318</v>
      </c>
      <c r="V5" s="200" t="s">
        <v>328</v>
      </c>
      <c r="W5" s="200" t="s">
        <v>133</v>
      </c>
      <c r="X5" s="202" t="s">
        <v>8</v>
      </c>
      <c r="Y5" s="248"/>
    </row>
    <row r="6" spans="1:58" x14ac:dyDescent="0.3">
      <c r="A6" s="115"/>
      <c r="B6" s="136"/>
      <c r="C6" s="3"/>
      <c r="D6" s="3"/>
      <c r="E6" s="3"/>
      <c r="F6" s="127"/>
      <c r="G6" s="205"/>
      <c r="H6" s="4"/>
      <c r="I6" s="116" t="str">
        <f t="shared" ref="I6:I69" si="0">IF(H6&gt;=37.8,"Yes","No")</f>
        <v>No</v>
      </c>
      <c r="J6" s="228"/>
      <c r="K6" s="235"/>
      <c r="L6" s="229"/>
      <c r="M6" s="229"/>
      <c r="N6" s="230"/>
      <c r="O6" s="136"/>
      <c r="P6" s="3"/>
      <c r="Q6" s="142"/>
      <c r="R6" s="140"/>
      <c r="S6" s="140"/>
      <c r="T6" s="141"/>
      <c r="U6" s="143"/>
      <c r="V6" s="144"/>
      <c r="X6" s="118"/>
      <c r="Y6" s="248"/>
    </row>
    <row r="7" spans="1:58" x14ac:dyDescent="0.3">
      <c r="A7" s="115"/>
      <c r="B7" s="137"/>
      <c r="C7" s="4"/>
      <c r="D7" s="4"/>
      <c r="E7" s="4"/>
      <c r="F7" s="126"/>
      <c r="G7" s="205"/>
      <c r="H7" s="4"/>
      <c r="I7" s="119" t="str">
        <f t="shared" si="0"/>
        <v>No</v>
      </c>
      <c r="J7" s="145"/>
      <c r="K7" s="236"/>
      <c r="L7" s="4"/>
      <c r="M7" s="4"/>
      <c r="N7" s="211"/>
      <c r="O7" s="137"/>
      <c r="P7" s="4"/>
      <c r="Q7" s="148"/>
      <c r="R7" s="120"/>
      <c r="S7" s="120"/>
      <c r="T7" s="147"/>
      <c r="U7" s="149"/>
      <c r="V7" s="150"/>
      <c r="W7" s="117"/>
      <c r="X7" s="121"/>
      <c r="Y7" s="248"/>
    </row>
    <row r="8" spans="1:58" x14ac:dyDescent="0.3">
      <c r="A8" s="115"/>
      <c r="B8" s="137"/>
      <c r="C8" s="4"/>
      <c r="D8" s="4"/>
      <c r="E8" s="4"/>
      <c r="F8" s="126"/>
      <c r="G8" s="205"/>
      <c r="H8" s="4"/>
      <c r="I8" s="119" t="str">
        <f t="shared" si="0"/>
        <v>No</v>
      </c>
      <c r="J8" s="145"/>
      <c r="K8" s="236"/>
      <c r="L8" s="4"/>
      <c r="M8" s="4"/>
      <c r="N8" s="211"/>
      <c r="O8" s="137"/>
      <c r="P8" s="4"/>
      <c r="Q8" s="148"/>
      <c r="R8" s="120"/>
      <c r="S8" s="120"/>
      <c r="T8" s="147"/>
      <c r="U8" s="149"/>
      <c r="V8" s="150"/>
      <c r="W8" s="117"/>
      <c r="X8" s="121"/>
      <c r="Y8" s="248"/>
    </row>
    <row r="9" spans="1:58" x14ac:dyDescent="0.3">
      <c r="A9" s="115"/>
      <c r="B9" s="137"/>
      <c r="C9" s="4"/>
      <c r="D9" s="4"/>
      <c r="E9" s="4"/>
      <c r="F9" s="126"/>
      <c r="G9" s="205"/>
      <c r="H9" s="4"/>
      <c r="I9" s="119" t="str">
        <f t="shared" si="0"/>
        <v>No</v>
      </c>
      <c r="J9" s="145"/>
      <c r="K9" s="236"/>
      <c r="L9" s="4"/>
      <c r="M9" s="4"/>
      <c r="N9" s="211"/>
      <c r="O9" s="137"/>
      <c r="P9" s="4"/>
      <c r="Q9" s="148"/>
      <c r="R9" s="120"/>
      <c r="S9" s="120"/>
      <c r="T9" s="147"/>
      <c r="U9" s="149"/>
      <c r="V9" s="150"/>
      <c r="W9" s="117"/>
      <c r="X9" s="121"/>
      <c r="Y9" s="248"/>
    </row>
    <row r="10" spans="1:58" x14ac:dyDescent="0.3">
      <c r="A10" s="115"/>
      <c r="B10" s="137"/>
      <c r="C10" s="4"/>
      <c r="D10" s="4"/>
      <c r="E10" s="4"/>
      <c r="F10" s="126"/>
      <c r="G10" s="205"/>
      <c r="H10" s="4"/>
      <c r="I10" s="119" t="str">
        <f t="shared" si="0"/>
        <v>No</v>
      </c>
      <c r="J10" s="145"/>
      <c r="K10" s="236"/>
      <c r="L10" s="4"/>
      <c r="M10" s="4"/>
      <c r="N10" s="211"/>
      <c r="O10" s="137"/>
      <c r="P10" s="4"/>
      <c r="Q10" s="148"/>
      <c r="R10" s="120"/>
      <c r="S10" s="120"/>
      <c r="T10" s="147"/>
      <c r="U10" s="149"/>
      <c r="V10" s="150"/>
      <c r="W10" s="117"/>
      <c r="X10" s="121"/>
      <c r="Y10" s="248"/>
    </row>
    <row r="11" spans="1:58" x14ac:dyDescent="0.3">
      <c r="A11" s="115"/>
      <c r="B11" s="137"/>
      <c r="C11" s="4"/>
      <c r="D11" s="4"/>
      <c r="E11" s="4"/>
      <c r="F11" s="126"/>
      <c r="G11" s="205"/>
      <c r="H11" s="4"/>
      <c r="I11" s="119" t="str">
        <f t="shared" si="0"/>
        <v>No</v>
      </c>
      <c r="J11" s="145"/>
      <c r="K11" s="236"/>
      <c r="L11" s="4"/>
      <c r="M11" s="4"/>
      <c r="N11" s="211"/>
      <c r="O11" s="137"/>
      <c r="P11" s="4"/>
      <c r="Q11" s="148"/>
      <c r="R11" s="120"/>
      <c r="S11" s="120"/>
      <c r="T11" s="147"/>
      <c r="U11" s="149"/>
      <c r="V11" s="150"/>
      <c r="W11" s="117"/>
      <c r="X11" s="121"/>
      <c r="Y11" s="248"/>
    </row>
    <row r="12" spans="1:58" x14ac:dyDescent="0.3">
      <c r="A12" s="115"/>
      <c r="B12" s="137"/>
      <c r="C12" s="4"/>
      <c r="D12" s="4"/>
      <c r="E12" s="4"/>
      <c r="F12" s="126"/>
      <c r="G12" s="205"/>
      <c r="H12" s="4"/>
      <c r="I12" s="119" t="str">
        <f t="shared" si="0"/>
        <v>No</v>
      </c>
      <c r="J12" s="145"/>
      <c r="K12" s="236"/>
      <c r="L12" s="4"/>
      <c r="M12" s="4"/>
      <c r="N12" s="211"/>
      <c r="O12" s="137"/>
      <c r="P12" s="4"/>
      <c r="Q12" s="148"/>
      <c r="R12" s="120"/>
      <c r="S12" s="120"/>
      <c r="T12" s="147"/>
      <c r="U12" s="149"/>
      <c r="V12" s="150"/>
      <c r="W12" s="117"/>
      <c r="X12" s="121"/>
      <c r="Y12" s="248"/>
    </row>
    <row r="13" spans="1:58" x14ac:dyDescent="0.3">
      <c r="A13" s="115"/>
      <c r="B13" s="137"/>
      <c r="C13" s="4"/>
      <c r="D13" s="4"/>
      <c r="E13" s="4"/>
      <c r="F13" s="126"/>
      <c r="G13" s="205"/>
      <c r="H13" s="4"/>
      <c r="I13" s="119" t="str">
        <f t="shared" si="0"/>
        <v>No</v>
      </c>
      <c r="J13" s="145"/>
      <c r="K13" s="236"/>
      <c r="L13" s="4"/>
      <c r="M13" s="4"/>
      <c r="N13" s="211"/>
      <c r="O13" s="137"/>
      <c r="P13" s="4"/>
      <c r="Q13" s="148"/>
      <c r="R13" s="120"/>
      <c r="S13" s="120"/>
      <c r="T13" s="147"/>
      <c r="U13" s="149"/>
      <c r="V13" s="150"/>
      <c r="W13" s="117"/>
      <c r="X13" s="121"/>
      <c r="Y13" s="248"/>
    </row>
    <row r="14" spans="1:58" x14ac:dyDescent="0.3">
      <c r="A14" s="115"/>
      <c r="B14" s="137"/>
      <c r="C14" s="4"/>
      <c r="D14" s="4"/>
      <c r="E14" s="4"/>
      <c r="F14" s="126"/>
      <c r="G14" s="205"/>
      <c r="H14" s="4"/>
      <c r="I14" s="122" t="str">
        <f t="shared" si="0"/>
        <v>No</v>
      </c>
      <c r="J14" s="145"/>
      <c r="K14" s="236"/>
      <c r="L14" s="4"/>
      <c r="M14" s="4"/>
      <c r="N14" s="211"/>
      <c r="O14" s="137"/>
      <c r="P14" s="4"/>
      <c r="Q14" s="148"/>
      <c r="R14" s="120"/>
      <c r="S14" s="120"/>
      <c r="T14" s="147"/>
      <c r="U14" s="149"/>
      <c r="V14" s="150"/>
      <c r="W14" s="117"/>
      <c r="X14" s="121"/>
      <c r="Y14" s="248"/>
    </row>
    <row r="15" spans="1:58" x14ac:dyDescent="0.3">
      <c r="A15" s="115"/>
      <c r="B15" s="137"/>
      <c r="C15" s="4"/>
      <c r="D15" s="4"/>
      <c r="E15" s="4"/>
      <c r="F15" s="126"/>
      <c r="G15" s="205"/>
      <c r="H15" s="4"/>
      <c r="I15" s="122" t="str">
        <f t="shared" si="0"/>
        <v>No</v>
      </c>
      <c r="J15" s="145"/>
      <c r="K15" s="236"/>
      <c r="L15" s="4"/>
      <c r="M15" s="4"/>
      <c r="N15" s="211"/>
      <c r="O15" s="137"/>
      <c r="P15" s="4"/>
      <c r="Q15" s="148"/>
      <c r="R15" s="120"/>
      <c r="S15" s="120"/>
      <c r="T15" s="147"/>
      <c r="U15" s="149"/>
      <c r="V15" s="150"/>
      <c r="W15" s="117"/>
      <c r="X15" s="121"/>
      <c r="Y15" s="248"/>
    </row>
    <row r="16" spans="1:58" x14ac:dyDescent="0.3">
      <c r="A16" s="115"/>
      <c r="B16" s="137"/>
      <c r="C16" s="4"/>
      <c r="D16" s="4"/>
      <c r="E16" s="4"/>
      <c r="F16" s="126"/>
      <c r="G16" s="205"/>
      <c r="H16" s="4"/>
      <c r="I16" s="119" t="str">
        <f t="shared" si="0"/>
        <v>No</v>
      </c>
      <c r="J16" s="145"/>
      <c r="K16" s="236"/>
      <c r="L16" s="4"/>
      <c r="M16" s="4"/>
      <c r="N16" s="211"/>
      <c r="O16" s="137"/>
      <c r="P16" s="4"/>
      <c r="Q16" s="148"/>
      <c r="R16" s="120"/>
      <c r="S16" s="120"/>
      <c r="T16" s="147"/>
      <c r="U16" s="149"/>
      <c r="V16" s="150"/>
      <c r="W16" s="117"/>
      <c r="X16" s="121"/>
      <c r="Y16" s="248"/>
    </row>
    <row r="17" spans="1:25" x14ac:dyDescent="0.3">
      <c r="A17" s="115"/>
      <c r="B17" s="137"/>
      <c r="C17" s="4"/>
      <c r="D17" s="4"/>
      <c r="E17" s="4"/>
      <c r="F17" s="126"/>
      <c r="G17" s="205"/>
      <c r="H17" s="4"/>
      <c r="I17" s="122" t="str">
        <f t="shared" si="0"/>
        <v>No</v>
      </c>
      <c r="J17" s="145"/>
      <c r="K17" s="236"/>
      <c r="L17" s="4"/>
      <c r="M17" s="4"/>
      <c r="N17" s="211"/>
      <c r="O17" s="137"/>
      <c r="P17" s="4"/>
      <c r="Q17" s="148"/>
      <c r="R17" s="120"/>
      <c r="S17" s="120"/>
      <c r="T17" s="147"/>
      <c r="U17" s="149"/>
      <c r="V17" s="150"/>
      <c r="W17" s="117"/>
      <c r="X17" s="121"/>
      <c r="Y17" s="248"/>
    </row>
    <row r="18" spans="1:25" x14ac:dyDescent="0.3">
      <c r="A18" s="115"/>
      <c r="B18" s="137"/>
      <c r="C18" s="4"/>
      <c r="D18" s="4"/>
      <c r="E18" s="4"/>
      <c r="F18" s="126"/>
      <c r="G18" s="205"/>
      <c r="H18" s="4"/>
      <c r="I18" s="122" t="str">
        <f t="shared" si="0"/>
        <v>No</v>
      </c>
      <c r="J18" s="145"/>
      <c r="K18" s="236"/>
      <c r="L18" s="4"/>
      <c r="M18" s="4"/>
      <c r="N18" s="211"/>
      <c r="O18" s="137"/>
      <c r="P18" s="4"/>
      <c r="Q18" s="148"/>
      <c r="R18" s="120"/>
      <c r="S18" s="120"/>
      <c r="T18" s="147"/>
      <c r="U18" s="149"/>
      <c r="V18" s="150"/>
      <c r="W18" s="117"/>
      <c r="X18" s="121"/>
      <c r="Y18" s="248"/>
    </row>
    <row r="19" spans="1:25" x14ac:dyDescent="0.3">
      <c r="A19" s="115"/>
      <c r="B19" s="137"/>
      <c r="C19" s="4"/>
      <c r="D19" s="4"/>
      <c r="E19" s="4"/>
      <c r="F19" s="126"/>
      <c r="G19" s="205"/>
      <c r="H19" s="4"/>
      <c r="I19" s="122" t="str">
        <f t="shared" si="0"/>
        <v>No</v>
      </c>
      <c r="J19" s="145"/>
      <c r="K19" s="236"/>
      <c r="L19" s="4"/>
      <c r="M19" s="4"/>
      <c r="N19" s="211"/>
      <c r="O19" s="137"/>
      <c r="P19" s="4"/>
      <c r="Q19" s="148"/>
      <c r="R19" s="120"/>
      <c r="S19" s="120"/>
      <c r="T19" s="147"/>
      <c r="U19" s="149"/>
      <c r="V19" s="150"/>
      <c r="W19" s="117"/>
      <c r="X19" s="121"/>
      <c r="Y19" s="248"/>
    </row>
    <row r="20" spans="1:25" x14ac:dyDescent="0.3">
      <c r="A20" s="115"/>
      <c r="B20" s="137"/>
      <c r="C20" s="4"/>
      <c r="D20" s="4"/>
      <c r="E20" s="4"/>
      <c r="F20" s="126"/>
      <c r="G20" s="205"/>
      <c r="H20" s="4"/>
      <c r="I20" s="122" t="str">
        <f t="shared" si="0"/>
        <v>No</v>
      </c>
      <c r="J20" s="145"/>
      <c r="K20" s="236"/>
      <c r="L20" s="4"/>
      <c r="M20" s="4"/>
      <c r="N20" s="211"/>
      <c r="O20" s="137"/>
      <c r="P20" s="4"/>
      <c r="Q20" s="148"/>
      <c r="R20" s="120"/>
      <c r="S20" s="120"/>
      <c r="T20" s="147"/>
      <c r="U20" s="149"/>
      <c r="V20" s="150"/>
      <c r="W20" s="117"/>
      <c r="X20" s="121"/>
      <c r="Y20" s="248"/>
    </row>
    <row r="21" spans="1:25" ht="19.95" customHeight="1" x14ac:dyDescent="0.3">
      <c r="A21" s="115"/>
      <c r="B21" s="137"/>
      <c r="C21" s="4"/>
      <c r="D21" s="4"/>
      <c r="E21" s="4"/>
      <c r="F21" s="126"/>
      <c r="G21" s="205"/>
      <c r="H21" s="8"/>
      <c r="I21" s="122" t="str">
        <f t="shared" si="0"/>
        <v>No</v>
      </c>
      <c r="J21" s="145"/>
      <c r="K21" s="236"/>
      <c r="L21" s="4"/>
      <c r="M21" s="6"/>
      <c r="N21" s="212"/>
      <c r="O21" s="152"/>
      <c r="P21" s="6"/>
      <c r="Q21" s="148"/>
      <c r="R21" s="120"/>
      <c r="S21" s="120"/>
      <c r="T21" s="147"/>
      <c r="U21" s="149"/>
      <c r="V21" s="150"/>
      <c r="W21" s="117"/>
      <c r="X21" s="121"/>
      <c r="Y21" s="248"/>
    </row>
    <row r="22" spans="1:25" x14ac:dyDescent="0.3">
      <c r="A22" s="115"/>
      <c r="B22" s="137"/>
      <c r="C22" s="4"/>
      <c r="D22" s="4"/>
      <c r="E22" s="4"/>
      <c r="F22" s="126"/>
      <c r="G22" s="205"/>
      <c r="H22" s="6"/>
      <c r="I22" s="122" t="str">
        <f t="shared" si="0"/>
        <v>No</v>
      </c>
      <c r="J22" s="145"/>
      <c r="K22" s="236"/>
      <c r="L22" s="4"/>
      <c r="M22" s="4"/>
      <c r="N22" s="211"/>
      <c r="O22" s="137"/>
      <c r="P22" s="4"/>
      <c r="Q22" s="148"/>
      <c r="R22" s="120"/>
      <c r="S22" s="120"/>
      <c r="T22" s="147"/>
      <c r="U22" s="149"/>
      <c r="V22" s="150"/>
      <c r="W22" s="117"/>
      <c r="X22" s="121"/>
      <c r="Y22" s="248"/>
    </row>
    <row r="23" spans="1:25" x14ac:dyDescent="0.3">
      <c r="A23" s="115"/>
      <c r="B23" s="137"/>
      <c r="C23" s="4"/>
      <c r="D23" s="4"/>
      <c r="E23" s="4"/>
      <c r="F23" s="126"/>
      <c r="G23" s="146"/>
      <c r="H23" s="6"/>
      <c r="I23" s="122" t="str">
        <f t="shared" si="0"/>
        <v>No</v>
      </c>
      <c r="J23" s="145"/>
      <c r="K23" s="236"/>
      <c r="L23" s="4"/>
      <c r="M23" s="4"/>
      <c r="N23" s="211"/>
      <c r="O23" s="137"/>
      <c r="P23" s="4"/>
      <c r="Q23" s="148"/>
      <c r="R23" s="120"/>
      <c r="S23" s="120"/>
      <c r="T23" s="147"/>
      <c r="U23" s="149"/>
      <c r="V23" s="150"/>
      <c r="W23" s="117"/>
      <c r="X23" s="121"/>
      <c r="Y23" s="248"/>
    </row>
    <row r="24" spans="1:25" x14ac:dyDescent="0.3">
      <c r="A24" s="115"/>
      <c r="B24" s="137"/>
      <c r="C24" s="4"/>
      <c r="D24" s="4"/>
      <c r="E24" s="4"/>
      <c r="F24" s="126"/>
      <c r="G24" s="146"/>
      <c r="H24" s="6"/>
      <c r="I24" s="122" t="str">
        <f t="shared" si="0"/>
        <v>No</v>
      </c>
      <c r="J24" s="145"/>
      <c r="K24" s="236"/>
      <c r="L24" s="4"/>
      <c r="M24" s="4"/>
      <c r="N24" s="211"/>
      <c r="O24" s="137"/>
      <c r="P24" s="4"/>
      <c r="Q24" s="148"/>
      <c r="R24" s="120"/>
      <c r="S24" s="120"/>
      <c r="T24" s="147"/>
      <c r="U24" s="149"/>
      <c r="V24" s="150"/>
      <c r="W24" s="117"/>
      <c r="X24" s="121"/>
      <c r="Y24" s="248"/>
    </row>
    <row r="25" spans="1:25" x14ac:dyDescent="0.3">
      <c r="A25" s="115"/>
      <c r="B25" s="137"/>
      <c r="C25" s="4"/>
      <c r="D25" s="4"/>
      <c r="E25" s="4"/>
      <c r="F25" s="126"/>
      <c r="G25" s="146"/>
      <c r="H25" s="6"/>
      <c r="I25" s="122" t="str">
        <f t="shared" si="0"/>
        <v>No</v>
      </c>
      <c r="J25" s="145"/>
      <c r="K25" s="236"/>
      <c r="L25" s="4"/>
      <c r="M25" s="4"/>
      <c r="N25" s="211"/>
      <c r="O25" s="137"/>
      <c r="P25" s="4"/>
      <c r="Q25" s="148"/>
      <c r="R25" s="120"/>
      <c r="S25" s="120"/>
      <c r="T25" s="147"/>
      <c r="U25" s="149"/>
      <c r="V25" s="150"/>
      <c r="W25" s="117"/>
      <c r="X25" s="121"/>
      <c r="Y25" s="248"/>
    </row>
    <row r="26" spans="1:25" x14ac:dyDescent="0.3">
      <c r="A26" s="115"/>
      <c r="B26" s="137"/>
      <c r="C26" s="4"/>
      <c r="D26" s="4"/>
      <c r="E26" s="4"/>
      <c r="F26" s="126"/>
      <c r="G26" s="146"/>
      <c r="H26" s="6"/>
      <c r="I26" s="122" t="str">
        <f t="shared" si="0"/>
        <v>No</v>
      </c>
      <c r="J26" s="145"/>
      <c r="K26" s="236"/>
      <c r="L26" s="4"/>
      <c r="M26" s="4"/>
      <c r="N26" s="211"/>
      <c r="O26" s="137"/>
      <c r="P26" s="4"/>
      <c r="Q26" s="148"/>
      <c r="R26" s="120"/>
      <c r="S26" s="120"/>
      <c r="T26" s="147"/>
      <c r="U26" s="149"/>
      <c r="V26" s="150"/>
      <c r="W26" s="117"/>
      <c r="X26" s="121"/>
      <c r="Y26" s="248"/>
    </row>
    <row r="27" spans="1:25" x14ac:dyDescent="0.3">
      <c r="A27" s="115"/>
      <c r="B27" s="137"/>
      <c r="C27" s="4"/>
      <c r="D27" s="4"/>
      <c r="E27" s="4"/>
      <c r="F27" s="126"/>
      <c r="G27" s="146"/>
      <c r="H27" s="6"/>
      <c r="I27" s="119" t="str">
        <f t="shared" si="0"/>
        <v>No</v>
      </c>
      <c r="J27" s="145"/>
      <c r="K27" s="236"/>
      <c r="L27" s="146"/>
      <c r="M27" s="4"/>
      <c r="N27" s="211"/>
      <c r="O27" s="137"/>
      <c r="P27" s="4"/>
      <c r="Q27" s="137"/>
      <c r="R27" s="4"/>
      <c r="S27" s="4"/>
      <c r="T27" s="5"/>
      <c r="U27" s="154"/>
      <c r="V27" s="155"/>
      <c r="W27" s="123"/>
      <c r="X27" s="121"/>
      <c r="Y27" s="248"/>
    </row>
    <row r="28" spans="1:25" x14ac:dyDescent="0.3">
      <c r="A28" s="115"/>
      <c r="B28" s="137"/>
      <c r="C28" s="4"/>
      <c r="D28" s="4"/>
      <c r="E28" s="4"/>
      <c r="F28" s="126"/>
      <c r="G28" s="146"/>
      <c r="H28" s="6"/>
      <c r="I28" s="119" t="str">
        <f t="shared" si="0"/>
        <v>No</v>
      </c>
      <c r="J28" s="145"/>
      <c r="K28" s="236"/>
      <c r="L28" s="146"/>
      <c r="M28" s="4"/>
      <c r="N28" s="211"/>
      <c r="O28" s="137"/>
      <c r="P28" s="4"/>
      <c r="Q28" s="137"/>
      <c r="R28" s="4"/>
      <c r="S28" s="4"/>
      <c r="T28" s="5"/>
      <c r="U28" s="154"/>
      <c r="V28" s="155"/>
      <c r="W28" s="123"/>
      <c r="X28" s="121"/>
      <c r="Y28" s="248"/>
    </row>
    <row r="29" spans="1:25" x14ac:dyDescent="0.3">
      <c r="A29" s="115"/>
      <c r="B29" s="137"/>
      <c r="C29" s="4"/>
      <c r="D29" s="4"/>
      <c r="E29" s="4"/>
      <c r="F29" s="126"/>
      <c r="G29" s="146"/>
      <c r="H29" s="6"/>
      <c r="I29" s="119" t="str">
        <f t="shared" si="0"/>
        <v>No</v>
      </c>
      <c r="J29" s="145"/>
      <c r="K29" s="236"/>
      <c r="L29" s="146"/>
      <c r="M29" s="4"/>
      <c r="N29" s="211"/>
      <c r="O29" s="137"/>
      <c r="P29" s="4"/>
      <c r="Q29" s="137"/>
      <c r="R29" s="4"/>
      <c r="S29" s="4"/>
      <c r="T29" s="5"/>
      <c r="U29" s="154"/>
      <c r="V29" s="155"/>
      <c r="W29" s="123"/>
      <c r="X29" s="121"/>
      <c r="Y29" s="248"/>
    </row>
    <row r="30" spans="1:25" x14ac:dyDescent="0.3">
      <c r="A30" s="115"/>
      <c r="B30" s="137"/>
      <c r="C30" s="4"/>
      <c r="D30" s="4"/>
      <c r="E30" s="4"/>
      <c r="F30" s="126"/>
      <c r="G30" s="146"/>
      <c r="H30" s="6"/>
      <c r="I30" s="119" t="str">
        <f t="shared" si="0"/>
        <v>No</v>
      </c>
      <c r="J30" s="145"/>
      <c r="K30" s="236"/>
      <c r="L30" s="146"/>
      <c r="M30" s="4"/>
      <c r="N30" s="211"/>
      <c r="O30" s="137"/>
      <c r="P30" s="4"/>
      <c r="Q30" s="137"/>
      <c r="R30" s="4"/>
      <c r="S30" s="4"/>
      <c r="T30" s="5"/>
      <c r="U30" s="154"/>
      <c r="V30" s="155"/>
      <c r="W30" s="123"/>
      <c r="X30" s="121"/>
      <c r="Y30" s="248"/>
    </row>
    <row r="31" spans="1:25" x14ac:dyDescent="0.3">
      <c r="A31" s="115"/>
      <c r="B31" s="137"/>
      <c r="C31" s="4"/>
      <c r="D31" s="4"/>
      <c r="E31" s="4"/>
      <c r="F31" s="126"/>
      <c r="G31" s="146"/>
      <c r="H31" s="6"/>
      <c r="I31" s="119" t="str">
        <f t="shared" si="0"/>
        <v>No</v>
      </c>
      <c r="J31" s="145"/>
      <c r="K31" s="236"/>
      <c r="L31" s="146"/>
      <c r="M31" s="4"/>
      <c r="N31" s="211"/>
      <c r="O31" s="137"/>
      <c r="P31" s="4"/>
      <c r="Q31" s="137"/>
      <c r="R31" s="4"/>
      <c r="S31" s="4"/>
      <c r="T31" s="5"/>
      <c r="U31" s="154"/>
      <c r="V31" s="155"/>
      <c r="W31" s="123"/>
      <c r="X31" s="121"/>
      <c r="Y31" s="248"/>
    </row>
    <row r="32" spans="1:25" x14ac:dyDescent="0.3">
      <c r="A32" s="115"/>
      <c r="B32" s="137"/>
      <c r="C32" s="4"/>
      <c r="D32" s="4"/>
      <c r="E32" s="4"/>
      <c r="F32" s="126"/>
      <c r="G32" s="146"/>
      <c r="H32" s="6"/>
      <c r="I32" s="119" t="str">
        <f t="shared" si="0"/>
        <v>No</v>
      </c>
      <c r="J32" s="145"/>
      <c r="K32" s="236"/>
      <c r="L32" s="146"/>
      <c r="M32" s="4"/>
      <c r="N32" s="211"/>
      <c r="O32" s="137"/>
      <c r="P32" s="4"/>
      <c r="Q32" s="137"/>
      <c r="R32" s="4"/>
      <c r="S32" s="4"/>
      <c r="T32" s="5"/>
      <c r="U32" s="154"/>
      <c r="V32" s="155"/>
      <c r="W32" s="123"/>
      <c r="X32" s="121"/>
      <c r="Y32" s="248"/>
    </row>
    <row r="33" spans="1:25" x14ac:dyDescent="0.3">
      <c r="A33" s="115"/>
      <c r="B33" s="137"/>
      <c r="C33" s="4"/>
      <c r="D33" s="4"/>
      <c r="E33" s="4"/>
      <c r="F33" s="126"/>
      <c r="G33" s="146"/>
      <c r="H33" s="6"/>
      <c r="I33" s="119" t="str">
        <f t="shared" si="0"/>
        <v>No</v>
      </c>
      <c r="J33" s="145"/>
      <c r="K33" s="236"/>
      <c r="L33" s="146"/>
      <c r="M33" s="4"/>
      <c r="N33" s="211"/>
      <c r="O33" s="137"/>
      <c r="P33" s="4"/>
      <c r="Q33" s="137"/>
      <c r="R33" s="4"/>
      <c r="S33" s="4"/>
      <c r="T33" s="5"/>
      <c r="U33" s="154"/>
      <c r="V33" s="155"/>
      <c r="W33" s="123"/>
      <c r="X33" s="121"/>
      <c r="Y33" s="248"/>
    </row>
    <row r="34" spans="1:25" x14ac:dyDescent="0.3">
      <c r="A34" s="115"/>
      <c r="B34" s="137"/>
      <c r="C34" s="4"/>
      <c r="D34" s="4"/>
      <c r="E34" s="4"/>
      <c r="F34" s="126"/>
      <c r="G34" s="146"/>
      <c r="H34" s="6"/>
      <c r="I34" s="119" t="str">
        <f t="shared" si="0"/>
        <v>No</v>
      </c>
      <c r="J34" s="145"/>
      <c r="K34" s="236"/>
      <c r="L34" s="146"/>
      <c r="M34" s="4"/>
      <c r="N34" s="211"/>
      <c r="O34" s="137"/>
      <c r="P34" s="4"/>
      <c r="Q34" s="137"/>
      <c r="R34" s="4"/>
      <c r="S34" s="4"/>
      <c r="T34" s="5"/>
      <c r="U34" s="154"/>
      <c r="V34" s="155"/>
      <c r="W34" s="123"/>
      <c r="X34" s="121"/>
      <c r="Y34" s="248"/>
    </row>
    <row r="35" spans="1:25" x14ac:dyDescent="0.3">
      <c r="A35" s="115"/>
      <c r="B35" s="137"/>
      <c r="C35" s="4"/>
      <c r="D35" s="4"/>
      <c r="E35" s="4"/>
      <c r="F35" s="126"/>
      <c r="G35" s="146"/>
      <c r="H35" s="6"/>
      <c r="I35" s="119" t="str">
        <f t="shared" si="0"/>
        <v>No</v>
      </c>
      <c r="J35" s="145"/>
      <c r="K35" s="236"/>
      <c r="L35" s="146"/>
      <c r="M35" s="4"/>
      <c r="N35" s="211"/>
      <c r="O35" s="137"/>
      <c r="P35" s="4"/>
      <c r="Q35" s="137"/>
      <c r="R35" s="4"/>
      <c r="S35" s="4"/>
      <c r="T35" s="5"/>
      <c r="U35" s="154"/>
      <c r="V35" s="155"/>
      <c r="W35" s="123"/>
      <c r="X35" s="121"/>
      <c r="Y35" s="248"/>
    </row>
    <row r="36" spans="1:25" x14ac:dyDescent="0.3">
      <c r="A36" s="115"/>
      <c r="B36" s="137"/>
      <c r="C36" s="4"/>
      <c r="D36" s="4"/>
      <c r="E36" s="4"/>
      <c r="F36" s="126"/>
      <c r="G36" s="146"/>
      <c r="H36" s="6"/>
      <c r="I36" s="119" t="str">
        <f t="shared" si="0"/>
        <v>No</v>
      </c>
      <c r="J36" s="137"/>
      <c r="K36" s="123"/>
      <c r="L36" s="4"/>
      <c r="M36" s="4"/>
      <c r="N36" s="211"/>
      <c r="O36" s="137"/>
      <c r="P36" s="4"/>
      <c r="Q36" s="148"/>
      <c r="R36" s="120"/>
      <c r="S36" s="120"/>
      <c r="T36" s="147"/>
      <c r="U36" s="149"/>
      <c r="V36" s="150"/>
      <c r="W36" s="117"/>
      <c r="X36" s="121"/>
      <c r="Y36" s="248"/>
    </row>
    <row r="37" spans="1:25" x14ac:dyDescent="0.3">
      <c r="A37" s="115"/>
      <c r="B37" s="137"/>
      <c r="C37" s="4"/>
      <c r="D37" s="4"/>
      <c r="E37" s="4"/>
      <c r="F37" s="126"/>
      <c r="G37" s="146"/>
      <c r="H37" s="6"/>
      <c r="I37" s="119" t="str">
        <f t="shared" si="0"/>
        <v>No</v>
      </c>
      <c r="J37" s="137"/>
      <c r="K37" s="123"/>
      <c r="L37" s="4"/>
      <c r="M37" s="4"/>
      <c r="N37" s="211"/>
      <c r="O37" s="137"/>
      <c r="P37" s="4"/>
      <c r="Q37" s="148"/>
      <c r="R37" s="120"/>
      <c r="S37" s="120"/>
      <c r="T37" s="147"/>
      <c r="U37" s="149"/>
      <c r="V37" s="150"/>
      <c r="W37" s="117"/>
      <c r="X37" s="121"/>
      <c r="Y37" s="248"/>
    </row>
    <row r="38" spans="1:25" x14ac:dyDescent="0.3">
      <c r="A38" s="115"/>
      <c r="B38" s="137"/>
      <c r="C38" s="4"/>
      <c r="D38" s="4"/>
      <c r="E38" s="4"/>
      <c r="F38" s="126"/>
      <c r="G38" s="146"/>
      <c r="H38" s="6"/>
      <c r="I38" s="119" t="str">
        <f t="shared" si="0"/>
        <v>No</v>
      </c>
      <c r="J38" s="137"/>
      <c r="K38" s="123"/>
      <c r="L38" s="4"/>
      <c r="M38" s="4"/>
      <c r="N38" s="211"/>
      <c r="O38" s="137"/>
      <c r="P38" s="4"/>
      <c r="Q38" s="148"/>
      <c r="R38" s="120"/>
      <c r="S38" s="120"/>
      <c r="T38" s="147"/>
      <c r="U38" s="149"/>
      <c r="V38" s="150"/>
      <c r="W38" s="117"/>
      <c r="X38" s="121"/>
      <c r="Y38" s="248"/>
    </row>
    <row r="39" spans="1:25" x14ac:dyDescent="0.3">
      <c r="A39" s="115"/>
      <c r="B39" s="137"/>
      <c r="C39" s="4"/>
      <c r="D39" s="4"/>
      <c r="E39" s="4"/>
      <c r="F39" s="126"/>
      <c r="G39" s="146"/>
      <c r="H39" s="6"/>
      <c r="I39" s="119" t="str">
        <f t="shared" si="0"/>
        <v>No</v>
      </c>
      <c r="J39" s="137"/>
      <c r="K39" s="123"/>
      <c r="L39" s="4"/>
      <c r="M39" s="4"/>
      <c r="N39" s="211"/>
      <c r="O39" s="137"/>
      <c r="P39" s="4"/>
      <c r="Q39" s="148"/>
      <c r="R39" s="120"/>
      <c r="S39" s="120"/>
      <c r="T39" s="147"/>
      <c r="U39" s="149"/>
      <c r="V39" s="150"/>
      <c r="W39" s="117"/>
      <c r="X39" s="121"/>
      <c r="Y39" s="248"/>
    </row>
    <row r="40" spans="1:25" x14ac:dyDescent="0.3">
      <c r="A40" s="115"/>
      <c r="B40" s="137"/>
      <c r="C40" s="4"/>
      <c r="D40" s="4"/>
      <c r="E40" s="4"/>
      <c r="F40" s="126"/>
      <c r="G40" s="146"/>
      <c r="H40" s="6"/>
      <c r="I40" s="119" t="str">
        <f t="shared" si="0"/>
        <v>No</v>
      </c>
      <c r="J40" s="137"/>
      <c r="K40" s="123"/>
      <c r="L40" s="4"/>
      <c r="M40" s="4"/>
      <c r="N40" s="211"/>
      <c r="O40" s="137"/>
      <c r="P40" s="4"/>
      <c r="Q40" s="148"/>
      <c r="R40" s="120"/>
      <c r="S40" s="120"/>
      <c r="T40" s="147"/>
      <c r="U40" s="149"/>
      <c r="V40" s="150"/>
      <c r="W40" s="117"/>
      <c r="X40" s="121"/>
      <c r="Y40" s="248"/>
    </row>
    <row r="41" spans="1:25" x14ac:dyDescent="0.3">
      <c r="A41" s="115"/>
      <c r="B41" s="137"/>
      <c r="C41" s="4"/>
      <c r="D41" s="4"/>
      <c r="E41" s="4"/>
      <c r="F41" s="126"/>
      <c r="G41" s="146"/>
      <c r="H41" s="6"/>
      <c r="I41" s="119" t="str">
        <f t="shared" si="0"/>
        <v>No</v>
      </c>
      <c r="J41" s="137"/>
      <c r="K41" s="123"/>
      <c r="L41" s="4"/>
      <c r="M41" s="4"/>
      <c r="N41" s="211"/>
      <c r="O41" s="137"/>
      <c r="P41" s="4"/>
      <c r="Q41" s="148"/>
      <c r="R41" s="120"/>
      <c r="S41" s="120"/>
      <c r="T41" s="147"/>
      <c r="U41" s="149"/>
      <c r="V41" s="150"/>
      <c r="W41" s="123"/>
      <c r="X41" s="121"/>
      <c r="Y41" s="248"/>
    </row>
    <row r="42" spans="1:25" x14ac:dyDescent="0.3">
      <c r="A42" s="115"/>
      <c r="B42" s="137"/>
      <c r="C42" s="4"/>
      <c r="D42" s="4"/>
      <c r="E42" s="4"/>
      <c r="F42" s="126"/>
      <c r="G42" s="146"/>
      <c r="H42" s="6"/>
      <c r="I42" s="119" t="str">
        <f t="shared" si="0"/>
        <v>No</v>
      </c>
      <c r="J42" s="137"/>
      <c r="K42" s="123"/>
      <c r="L42" s="4"/>
      <c r="M42" s="4"/>
      <c r="N42" s="211"/>
      <c r="O42" s="137"/>
      <c r="P42" s="4"/>
      <c r="Q42" s="148"/>
      <c r="R42" s="120"/>
      <c r="S42" s="120"/>
      <c r="T42" s="147"/>
      <c r="U42" s="149"/>
      <c r="V42" s="150"/>
      <c r="W42" s="123"/>
      <c r="X42" s="121"/>
      <c r="Y42" s="248"/>
    </row>
    <row r="43" spans="1:25" x14ac:dyDescent="0.3">
      <c r="A43" s="115"/>
      <c r="B43" s="137"/>
      <c r="C43" s="4"/>
      <c r="D43" s="4"/>
      <c r="E43" s="4"/>
      <c r="F43" s="126"/>
      <c r="G43" s="146"/>
      <c r="H43" s="6"/>
      <c r="I43" s="119" t="str">
        <f t="shared" si="0"/>
        <v>No</v>
      </c>
      <c r="J43" s="137"/>
      <c r="K43" s="123"/>
      <c r="L43" s="4"/>
      <c r="M43" s="4"/>
      <c r="N43" s="211"/>
      <c r="O43" s="137"/>
      <c r="P43" s="4"/>
      <c r="Q43" s="148"/>
      <c r="R43" s="120"/>
      <c r="S43" s="120"/>
      <c r="T43" s="147"/>
      <c r="U43" s="149"/>
      <c r="V43" s="150"/>
      <c r="W43" s="123"/>
      <c r="X43" s="121"/>
      <c r="Y43" s="248"/>
    </row>
    <row r="44" spans="1:25" x14ac:dyDescent="0.3">
      <c r="A44" s="115"/>
      <c r="B44" s="137"/>
      <c r="C44" s="4"/>
      <c r="D44" s="4"/>
      <c r="E44" s="4"/>
      <c r="F44" s="126"/>
      <c r="G44" s="206"/>
      <c r="H44" s="4"/>
      <c r="I44" s="119" t="str">
        <f t="shared" si="0"/>
        <v>No</v>
      </c>
      <c r="J44" s="137"/>
      <c r="K44" s="123"/>
      <c r="L44" s="4"/>
      <c r="M44" s="4"/>
      <c r="N44" s="211"/>
      <c r="O44" s="137"/>
      <c r="P44" s="4"/>
      <c r="Q44" s="148"/>
      <c r="R44" s="120"/>
      <c r="S44" s="120"/>
      <c r="T44" s="147"/>
      <c r="U44" s="149"/>
      <c r="V44" s="150"/>
      <c r="W44" s="123"/>
      <c r="X44" s="121"/>
      <c r="Y44" s="248"/>
    </row>
    <row r="45" spans="1:25" x14ac:dyDescent="0.3">
      <c r="A45" s="115"/>
      <c r="B45" s="137"/>
      <c r="C45" s="4"/>
      <c r="D45" s="4"/>
      <c r="E45" s="4"/>
      <c r="F45" s="126"/>
      <c r="G45" s="206"/>
      <c r="H45" s="4"/>
      <c r="I45" s="119" t="str">
        <f t="shared" si="0"/>
        <v>No</v>
      </c>
      <c r="J45" s="137"/>
      <c r="K45" s="123"/>
      <c r="L45" s="4"/>
      <c r="M45" s="4"/>
      <c r="N45" s="211"/>
      <c r="O45" s="137"/>
      <c r="P45" s="4"/>
      <c r="Q45" s="148"/>
      <c r="R45" s="120"/>
      <c r="S45" s="120"/>
      <c r="T45" s="147"/>
      <c r="U45" s="149"/>
      <c r="V45" s="150"/>
      <c r="W45" s="123"/>
      <c r="X45" s="121"/>
      <c r="Y45" s="248"/>
    </row>
    <row r="46" spans="1:25" x14ac:dyDescent="0.3">
      <c r="A46" s="115"/>
      <c r="B46" s="137"/>
      <c r="C46" s="4"/>
      <c r="D46" s="4"/>
      <c r="E46" s="4"/>
      <c r="F46" s="126"/>
      <c r="G46" s="206"/>
      <c r="H46" s="4"/>
      <c r="I46" s="119" t="str">
        <f t="shared" si="0"/>
        <v>No</v>
      </c>
      <c r="J46" s="137"/>
      <c r="K46" s="123"/>
      <c r="L46" s="4"/>
      <c r="M46" s="4"/>
      <c r="N46" s="211"/>
      <c r="O46" s="137"/>
      <c r="P46" s="4"/>
      <c r="Q46" s="148"/>
      <c r="R46" s="120"/>
      <c r="S46" s="120"/>
      <c r="T46" s="147"/>
      <c r="U46" s="149"/>
      <c r="V46" s="150"/>
      <c r="W46" s="123"/>
      <c r="X46" s="121"/>
      <c r="Y46" s="248"/>
    </row>
    <row r="47" spans="1:25" x14ac:dyDescent="0.3">
      <c r="A47" s="115"/>
      <c r="B47" s="137"/>
      <c r="C47" s="4"/>
      <c r="D47" s="4"/>
      <c r="E47" s="4"/>
      <c r="F47" s="126"/>
      <c r="G47" s="206"/>
      <c r="H47" s="4"/>
      <c r="I47" s="119" t="str">
        <f t="shared" si="0"/>
        <v>No</v>
      </c>
      <c r="J47" s="137"/>
      <c r="K47" s="123"/>
      <c r="L47" s="4"/>
      <c r="M47" s="4"/>
      <c r="N47" s="211"/>
      <c r="O47" s="137"/>
      <c r="P47" s="4"/>
      <c r="Q47" s="148"/>
      <c r="R47" s="120"/>
      <c r="S47" s="120"/>
      <c r="T47" s="147"/>
      <c r="U47" s="149"/>
      <c r="V47" s="150"/>
      <c r="W47" s="123"/>
      <c r="X47" s="121"/>
      <c r="Y47" s="248"/>
    </row>
    <row r="48" spans="1:25" x14ac:dyDescent="0.3">
      <c r="A48" s="115"/>
      <c r="B48" s="137"/>
      <c r="C48" s="4"/>
      <c r="D48" s="4"/>
      <c r="E48" s="4"/>
      <c r="F48" s="126"/>
      <c r="G48" s="206"/>
      <c r="H48" s="4"/>
      <c r="I48" s="119" t="str">
        <f t="shared" si="0"/>
        <v>No</v>
      </c>
      <c r="J48" s="137"/>
      <c r="K48" s="123"/>
      <c r="L48" s="4"/>
      <c r="M48" s="4"/>
      <c r="N48" s="211"/>
      <c r="O48" s="137"/>
      <c r="P48" s="4"/>
      <c r="Q48" s="148"/>
      <c r="R48" s="120"/>
      <c r="S48" s="120"/>
      <c r="T48" s="147"/>
      <c r="U48" s="149"/>
      <c r="V48" s="150"/>
      <c r="W48" s="123"/>
      <c r="X48" s="121"/>
      <c r="Y48" s="248"/>
    </row>
    <row r="49" spans="1:25" x14ac:dyDescent="0.3">
      <c r="A49" s="115"/>
      <c r="B49" s="137"/>
      <c r="C49" s="4"/>
      <c r="D49" s="4"/>
      <c r="E49" s="4"/>
      <c r="F49" s="126"/>
      <c r="G49" s="206"/>
      <c r="H49" s="4"/>
      <c r="I49" s="119" t="str">
        <f t="shared" si="0"/>
        <v>No</v>
      </c>
      <c r="J49" s="137"/>
      <c r="K49" s="123"/>
      <c r="L49" s="4"/>
      <c r="M49" s="4"/>
      <c r="N49" s="211"/>
      <c r="O49" s="137"/>
      <c r="P49" s="4"/>
      <c r="Q49" s="148"/>
      <c r="R49" s="120"/>
      <c r="S49" s="120"/>
      <c r="T49" s="147"/>
      <c r="U49" s="149"/>
      <c r="V49" s="150"/>
      <c r="W49" s="123"/>
      <c r="X49" s="121"/>
      <c r="Y49" s="248"/>
    </row>
    <row r="50" spans="1:25" x14ac:dyDescent="0.3">
      <c r="A50" s="115"/>
      <c r="B50" s="137"/>
      <c r="C50" s="4"/>
      <c r="D50" s="4"/>
      <c r="E50" s="4"/>
      <c r="F50" s="126"/>
      <c r="G50" s="206"/>
      <c r="H50" s="4"/>
      <c r="I50" s="119" t="str">
        <f t="shared" si="0"/>
        <v>No</v>
      </c>
      <c r="J50" s="137"/>
      <c r="K50" s="123"/>
      <c r="L50" s="4"/>
      <c r="M50" s="4"/>
      <c r="N50" s="211"/>
      <c r="O50" s="137"/>
      <c r="P50" s="4"/>
      <c r="Q50" s="137"/>
      <c r="R50" s="4"/>
      <c r="S50" s="4"/>
      <c r="T50" s="5"/>
      <c r="U50" s="154"/>
      <c r="V50" s="155"/>
      <c r="W50" s="123"/>
      <c r="X50" s="121"/>
      <c r="Y50" s="248"/>
    </row>
    <row r="51" spans="1:25" x14ac:dyDescent="0.3">
      <c r="A51" s="115"/>
      <c r="B51" s="137"/>
      <c r="C51" s="4"/>
      <c r="D51" s="4"/>
      <c r="E51" s="4"/>
      <c r="F51" s="126"/>
      <c r="G51" s="206"/>
      <c r="H51" s="4"/>
      <c r="I51" s="119" t="str">
        <f t="shared" si="0"/>
        <v>No</v>
      </c>
      <c r="J51" s="137"/>
      <c r="K51" s="123"/>
      <c r="L51" s="4"/>
      <c r="M51" s="4"/>
      <c r="N51" s="211"/>
      <c r="O51" s="137"/>
      <c r="P51" s="4"/>
      <c r="Q51" s="137"/>
      <c r="R51" s="4"/>
      <c r="S51" s="4"/>
      <c r="T51" s="5"/>
      <c r="U51" s="154"/>
      <c r="V51" s="155"/>
      <c r="W51" s="123"/>
      <c r="X51" s="121"/>
      <c r="Y51" s="248"/>
    </row>
    <row r="52" spans="1:25" x14ac:dyDescent="0.3">
      <c r="A52" s="115"/>
      <c r="B52" s="137"/>
      <c r="C52" s="4"/>
      <c r="D52" s="4"/>
      <c r="E52" s="4"/>
      <c r="F52" s="126"/>
      <c r="G52" s="206"/>
      <c r="H52" s="4"/>
      <c r="I52" s="119" t="str">
        <f t="shared" si="0"/>
        <v>No</v>
      </c>
      <c r="J52" s="137"/>
      <c r="K52" s="123"/>
      <c r="L52" s="4"/>
      <c r="M52" s="4"/>
      <c r="N52" s="211"/>
      <c r="O52" s="137"/>
      <c r="P52" s="4"/>
      <c r="Q52" s="137"/>
      <c r="R52" s="4"/>
      <c r="S52" s="4"/>
      <c r="T52" s="5"/>
      <c r="U52" s="154"/>
      <c r="V52" s="155"/>
      <c r="W52" s="123"/>
      <c r="X52" s="121"/>
      <c r="Y52" s="248"/>
    </row>
    <row r="53" spans="1:25" x14ac:dyDescent="0.3">
      <c r="A53" s="115"/>
      <c r="B53" s="137"/>
      <c r="C53" s="4"/>
      <c r="D53" s="4"/>
      <c r="E53" s="4"/>
      <c r="F53" s="126"/>
      <c r="G53" s="206"/>
      <c r="H53" s="4"/>
      <c r="I53" s="119" t="str">
        <f t="shared" si="0"/>
        <v>No</v>
      </c>
      <c r="J53" s="137"/>
      <c r="K53" s="123"/>
      <c r="L53" s="4"/>
      <c r="M53" s="4"/>
      <c r="N53" s="211"/>
      <c r="O53" s="137"/>
      <c r="P53" s="4"/>
      <c r="Q53" s="137"/>
      <c r="R53" s="4"/>
      <c r="S53" s="4"/>
      <c r="T53" s="5"/>
      <c r="U53" s="154"/>
      <c r="V53" s="155"/>
      <c r="W53" s="123"/>
      <c r="X53" s="121"/>
      <c r="Y53" s="248"/>
    </row>
    <row r="54" spans="1:25" x14ac:dyDescent="0.3">
      <c r="A54" s="115"/>
      <c r="B54" s="137"/>
      <c r="C54" s="4"/>
      <c r="D54" s="4"/>
      <c r="E54" s="4"/>
      <c r="F54" s="126"/>
      <c r="G54" s="206"/>
      <c r="H54" s="4"/>
      <c r="I54" s="119" t="str">
        <f t="shared" si="0"/>
        <v>No</v>
      </c>
      <c r="J54" s="137"/>
      <c r="K54" s="123"/>
      <c r="L54" s="4"/>
      <c r="M54" s="4"/>
      <c r="N54" s="211"/>
      <c r="O54" s="137"/>
      <c r="P54" s="4"/>
      <c r="Q54" s="137"/>
      <c r="R54" s="4"/>
      <c r="S54" s="4"/>
      <c r="T54" s="5"/>
      <c r="U54" s="154"/>
      <c r="V54" s="155"/>
      <c r="W54" s="123"/>
      <c r="X54" s="121"/>
      <c r="Y54" s="248"/>
    </row>
    <row r="55" spans="1:25" x14ac:dyDescent="0.3">
      <c r="A55" s="115"/>
      <c r="B55" s="137"/>
      <c r="C55" s="4"/>
      <c r="D55" s="4"/>
      <c r="E55" s="4"/>
      <c r="F55" s="126"/>
      <c r="G55" s="206"/>
      <c r="H55" s="4"/>
      <c r="I55" s="119" t="str">
        <f t="shared" si="0"/>
        <v>No</v>
      </c>
      <c r="J55" s="137"/>
      <c r="K55" s="123"/>
      <c r="L55" s="4"/>
      <c r="M55" s="4"/>
      <c r="N55" s="211"/>
      <c r="O55" s="137"/>
      <c r="P55" s="4"/>
      <c r="Q55" s="137"/>
      <c r="R55" s="4"/>
      <c r="S55" s="4"/>
      <c r="T55" s="5"/>
      <c r="U55" s="154"/>
      <c r="V55" s="155"/>
      <c r="W55" s="123"/>
      <c r="X55" s="121"/>
      <c r="Y55" s="248"/>
    </row>
    <row r="56" spans="1:25" x14ac:dyDescent="0.3">
      <c r="A56" s="115"/>
      <c r="B56" s="137"/>
      <c r="C56" s="4"/>
      <c r="D56" s="4"/>
      <c r="E56" s="4"/>
      <c r="F56" s="126"/>
      <c r="G56" s="206"/>
      <c r="H56" s="4"/>
      <c r="I56" s="119" t="str">
        <f t="shared" si="0"/>
        <v>No</v>
      </c>
      <c r="J56" s="137"/>
      <c r="K56" s="123"/>
      <c r="L56" s="4"/>
      <c r="M56" s="4"/>
      <c r="N56" s="211"/>
      <c r="O56" s="137"/>
      <c r="P56" s="4"/>
      <c r="Q56" s="137"/>
      <c r="R56" s="4"/>
      <c r="S56" s="4"/>
      <c r="T56" s="5"/>
      <c r="U56" s="154"/>
      <c r="V56" s="155"/>
      <c r="W56" s="123"/>
      <c r="X56" s="121"/>
      <c r="Y56" s="248"/>
    </row>
    <row r="57" spans="1:25" x14ac:dyDescent="0.3">
      <c r="A57" s="115"/>
      <c r="B57" s="137"/>
      <c r="C57" s="4"/>
      <c r="D57" s="4"/>
      <c r="E57" s="4"/>
      <c r="F57" s="126"/>
      <c r="G57" s="206"/>
      <c r="H57" s="4"/>
      <c r="I57" s="119" t="str">
        <f t="shared" si="0"/>
        <v>No</v>
      </c>
      <c r="J57" s="137"/>
      <c r="K57" s="123"/>
      <c r="L57" s="4"/>
      <c r="M57" s="4"/>
      <c r="N57" s="211"/>
      <c r="O57" s="137"/>
      <c r="P57" s="4"/>
      <c r="Q57" s="137"/>
      <c r="R57" s="4"/>
      <c r="S57" s="4"/>
      <c r="T57" s="5"/>
      <c r="U57" s="154"/>
      <c r="V57" s="155"/>
      <c r="W57" s="123"/>
      <c r="X57" s="121"/>
      <c r="Y57" s="248"/>
    </row>
    <row r="58" spans="1:25" x14ac:dyDescent="0.3">
      <c r="A58" s="115"/>
      <c r="B58" s="137"/>
      <c r="C58" s="4"/>
      <c r="D58" s="4"/>
      <c r="E58" s="4"/>
      <c r="F58" s="126"/>
      <c r="G58" s="206"/>
      <c r="H58" s="4"/>
      <c r="I58" s="119" t="str">
        <f t="shared" si="0"/>
        <v>No</v>
      </c>
      <c r="J58" s="137"/>
      <c r="K58" s="123"/>
      <c r="L58" s="4"/>
      <c r="M58" s="4"/>
      <c r="N58" s="211"/>
      <c r="O58" s="137"/>
      <c r="P58" s="4"/>
      <c r="Q58" s="137"/>
      <c r="R58" s="4"/>
      <c r="S58" s="4"/>
      <c r="T58" s="5"/>
      <c r="U58" s="154"/>
      <c r="V58" s="155"/>
      <c r="W58" s="123"/>
      <c r="X58" s="121"/>
      <c r="Y58" s="248"/>
    </row>
    <row r="59" spans="1:25" x14ac:dyDescent="0.3">
      <c r="A59" s="115"/>
      <c r="B59" s="137"/>
      <c r="C59" s="4"/>
      <c r="D59" s="4"/>
      <c r="E59" s="4"/>
      <c r="F59" s="126"/>
      <c r="G59" s="206"/>
      <c r="H59" s="4"/>
      <c r="I59" s="119" t="str">
        <f t="shared" si="0"/>
        <v>No</v>
      </c>
      <c r="J59" s="137"/>
      <c r="K59" s="123"/>
      <c r="L59" s="4"/>
      <c r="M59" s="4"/>
      <c r="N59" s="211"/>
      <c r="O59" s="137"/>
      <c r="P59" s="4"/>
      <c r="Q59" s="137"/>
      <c r="R59" s="4"/>
      <c r="S59" s="4"/>
      <c r="T59" s="5"/>
      <c r="U59" s="154"/>
      <c r="V59" s="155"/>
      <c r="W59" s="123"/>
      <c r="X59" s="121"/>
      <c r="Y59" s="248"/>
    </row>
    <row r="60" spans="1:25" x14ac:dyDescent="0.3">
      <c r="A60" s="115"/>
      <c r="B60" s="137"/>
      <c r="C60" s="4"/>
      <c r="D60" s="4"/>
      <c r="E60" s="4"/>
      <c r="F60" s="126"/>
      <c r="G60" s="206"/>
      <c r="H60" s="4"/>
      <c r="I60" s="119" t="str">
        <f t="shared" si="0"/>
        <v>No</v>
      </c>
      <c r="J60" s="137"/>
      <c r="K60" s="123"/>
      <c r="L60" s="4"/>
      <c r="M60" s="4"/>
      <c r="N60" s="211"/>
      <c r="O60" s="137"/>
      <c r="P60" s="4"/>
      <c r="Q60" s="137"/>
      <c r="R60" s="4"/>
      <c r="S60" s="4"/>
      <c r="T60" s="5"/>
      <c r="U60" s="154"/>
      <c r="V60" s="155"/>
      <c r="W60" s="123"/>
      <c r="X60" s="121"/>
      <c r="Y60" s="248"/>
    </row>
    <row r="61" spans="1:25" x14ac:dyDescent="0.3">
      <c r="A61" s="115"/>
      <c r="B61" s="137"/>
      <c r="C61" s="4"/>
      <c r="D61" s="4"/>
      <c r="E61" s="4"/>
      <c r="F61" s="126"/>
      <c r="G61" s="206"/>
      <c r="H61" s="4"/>
      <c r="I61" s="119" t="str">
        <f t="shared" si="0"/>
        <v>No</v>
      </c>
      <c r="J61" s="137"/>
      <c r="K61" s="123"/>
      <c r="L61" s="4"/>
      <c r="M61" s="4"/>
      <c r="N61" s="211"/>
      <c r="O61" s="137"/>
      <c r="P61" s="4"/>
      <c r="Q61" s="137"/>
      <c r="R61" s="4"/>
      <c r="S61" s="4"/>
      <c r="T61" s="5"/>
      <c r="U61" s="154"/>
      <c r="V61" s="155"/>
      <c r="W61" s="123"/>
      <c r="X61" s="121"/>
      <c r="Y61" s="248"/>
    </row>
    <row r="62" spans="1:25" x14ac:dyDescent="0.3">
      <c r="A62" s="115"/>
      <c r="B62" s="137"/>
      <c r="C62" s="4"/>
      <c r="D62" s="4"/>
      <c r="E62" s="4"/>
      <c r="F62" s="126"/>
      <c r="G62" s="206"/>
      <c r="H62" s="4"/>
      <c r="I62" s="119" t="str">
        <f t="shared" si="0"/>
        <v>No</v>
      </c>
      <c r="J62" s="137"/>
      <c r="K62" s="123"/>
      <c r="L62" s="4"/>
      <c r="M62" s="4"/>
      <c r="N62" s="211"/>
      <c r="O62" s="137"/>
      <c r="P62" s="4"/>
      <c r="Q62" s="137"/>
      <c r="R62" s="4"/>
      <c r="S62" s="4"/>
      <c r="T62" s="5"/>
      <c r="U62" s="154"/>
      <c r="V62" s="155"/>
      <c r="W62" s="123"/>
      <c r="X62" s="121"/>
      <c r="Y62" s="248"/>
    </row>
    <row r="63" spans="1:25" x14ac:dyDescent="0.3">
      <c r="A63" s="115"/>
      <c r="B63" s="137"/>
      <c r="C63" s="4"/>
      <c r="D63" s="4"/>
      <c r="E63" s="4"/>
      <c r="F63" s="126"/>
      <c r="G63" s="206"/>
      <c r="H63" s="4"/>
      <c r="I63" s="119" t="str">
        <f t="shared" si="0"/>
        <v>No</v>
      </c>
      <c r="J63" s="137"/>
      <c r="K63" s="123"/>
      <c r="L63" s="4"/>
      <c r="M63" s="4"/>
      <c r="N63" s="211"/>
      <c r="O63" s="137"/>
      <c r="P63" s="4"/>
      <c r="Q63" s="137"/>
      <c r="R63" s="4"/>
      <c r="S63" s="4"/>
      <c r="T63" s="5"/>
      <c r="U63" s="154"/>
      <c r="V63" s="155"/>
      <c r="W63" s="123"/>
      <c r="X63" s="121"/>
      <c r="Y63" s="248"/>
    </row>
    <row r="64" spans="1:25" x14ac:dyDescent="0.3">
      <c r="A64" s="115"/>
      <c r="B64" s="137"/>
      <c r="C64" s="4"/>
      <c r="D64" s="4"/>
      <c r="E64" s="4"/>
      <c r="F64" s="126"/>
      <c r="G64" s="206"/>
      <c r="H64" s="4"/>
      <c r="I64" s="119" t="str">
        <f t="shared" si="0"/>
        <v>No</v>
      </c>
      <c r="J64" s="137"/>
      <c r="K64" s="123"/>
      <c r="L64" s="4"/>
      <c r="M64" s="4"/>
      <c r="N64" s="211"/>
      <c r="O64" s="137"/>
      <c r="P64" s="4"/>
      <c r="Q64" s="137"/>
      <c r="R64" s="4"/>
      <c r="S64" s="4"/>
      <c r="T64" s="5"/>
      <c r="U64" s="154"/>
      <c r="V64" s="155"/>
      <c r="W64" s="123"/>
      <c r="X64" s="121"/>
      <c r="Y64" s="248"/>
    </row>
    <row r="65" spans="1:25" x14ac:dyDescent="0.3">
      <c r="A65" s="115"/>
      <c r="B65" s="137"/>
      <c r="C65" s="4"/>
      <c r="D65" s="4"/>
      <c r="E65" s="4"/>
      <c r="F65" s="126"/>
      <c r="G65" s="206"/>
      <c r="H65" s="4"/>
      <c r="I65" s="119" t="str">
        <f t="shared" si="0"/>
        <v>No</v>
      </c>
      <c r="J65" s="137"/>
      <c r="K65" s="123"/>
      <c r="L65" s="4"/>
      <c r="M65" s="4"/>
      <c r="N65" s="211"/>
      <c r="O65" s="137"/>
      <c r="P65" s="156"/>
      <c r="Q65" s="137"/>
      <c r="R65" s="4"/>
      <c r="S65" s="4"/>
      <c r="T65" s="5"/>
      <c r="U65" s="154"/>
      <c r="V65" s="155"/>
      <c r="W65" s="123"/>
      <c r="X65" s="121"/>
      <c r="Y65" s="248"/>
    </row>
    <row r="66" spans="1:25" x14ac:dyDescent="0.3">
      <c r="A66" s="115"/>
      <c r="B66" s="137"/>
      <c r="C66" s="4"/>
      <c r="D66" s="4"/>
      <c r="E66" s="4"/>
      <c r="F66" s="126"/>
      <c r="G66" s="206"/>
      <c r="H66" s="4"/>
      <c r="I66" s="119" t="str">
        <f t="shared" si="0"/>
        <v>No</v>
      </c>
      <c r="J66" s="137"/>
      <c r="K66" s="123"/>
      <c r="L66" s="4"/>
      <c r="M66" s="4"/>
      <c r="N66" s="211"/>
      <c r="O66" s="137"/>
      <c r="P66" s="156"/>
      <c r="Q66" s="137"/>
      <c r="R66" s="4"/>
      <c r="S66" s="4"/>
      <c r="T66" s="5"/>
      <c r="U66" s="154"/>
      <c r="V66" s="155"/>
      <c r="W66" s="123"/>
      <c r="X66" s="121"/>
      <c r="Y66" s="248"/>
    </row>
    <row r="67" spans="1:25" x14ac:dyDescent="0.3">
      <c r="A67" s="115"/>
      <c r="B67" s="137"/>
      <c r="C67" s="4"/>
      <c r="D67" s="4"/>
      <c r="E67" s="4"/>
      <c r="F67" s="126"/>
      <c r="G67" s="206"/>
      <c r="H67" s="4"/>
      <c r="I67" s="119" t="str">
        <f t="shared" si="0"/>
        <v>No</v>
      </c>
      <c r="J67" s="137"/>
      <c r="K67" s="123"/>
      <c r="L67" s="4"/>
      <c r="M67" s="4"/>
      <c r="N67" s="211"/>
      <c r="O67" s="137"/>
      <c r="P67" s="156"/>
      <c r="Q67" s="137"/>
      <c r="R67" s="4"/>
      <c r="S67" s="4"/>
      <c r="T67" s="5"/>
      <c r="U67" s="154"/>
      <c r="V67" s="155"/>
      <c r="W67" s="123"/>
      <c r="X67" s="121"/>
      <c r="Y67" s="248"/>
    </row>
    <row r="68" spans="1:25" x14ac:dyDescent="0.3">
      <c r="A68" s="115"/>
      <c r="B68" s="137"/>
      <c r="C68" s="4"/>
      <c r="D68" s="4"/>
      <c r="E68" s="4"/>
      <c r="F68" s="126"/>
      <c r="G68" s="206"/>
      <c r="H68" s="4"/>
      <c r="I68" s="119" t="str">
        <f t="shared" si="0"/>
        <v>No</v>
      </c>
      <c r="J68" s="137"/>
      <c r="K68" s="123"/>
      <c r="L68" s="4"/>
      <c r="M68" s="4"/>
      <c r="N68" s="211"/>
      <c r="O68" s="137"/>
      <c r="P68" s="4"/>
      <c r="Q68" s="137"/>
      <c r="R68" s="4"/>
      <c r="S68" s="4"/>
      <c r="T68" s="5"/>
      <c r="U68" s="154"/>
      <c r="V68" s="155"/>
      <c r="W68" s="123"/>
      <c r="X68" s="121"/>
      <c r="Y68" s="248"/>
    </row>
    <row r="69" spans="1:25" x14ac:dyDescent="0.3">
      <c r="A69" s="115"/>
      <c r="B69" s="137"/>
      <c r="C69" s="4"/>
      <c r="D69" s="4"/>
      <c r="E69" s="4"/>
      <c r="F69" s="126"/>
      <c r="G69" s="206"/>
      <c r="H69" s="4"/>
      <c r="I69" s="119" t="str">
        <f t="shared" si="0"/>
        <v>No</v>
      </c>
      <c r="J69" s="137"/>
      <c r="K69" s="123"/>
      <c r="L69" s="4"/>
      <c r="M69" s="4"/>
      <c r="N69" s="211"/>
      <c r="O69" s="137"/>
      <c r="P69" s="4"/>
      <c r="Q69" s="137"/>
      <c r="R69" s="4"/>
      <c r="S69" s="4"/>
      <c r="T69" s="5"/>
      <c r="U69" s="154"/>
      <c r="V69" s="155"/>
      <c r="W69" s="123"/>
      <c r="X69" s="121"/>
      <c r="Y69" s="248"/>
    </row>
    <row r="70" spans="1:25" x14ac:dyDescent="0.3">
      <c r="A70" s="115"/>
      <c r="B70" s="137"/>
      <c r="C70" s="4"/>
      <c r="D70" s="4"/>
      <c r="E70" s="4"/>
      <c r="F70" s="126"/>
      <c r="G70" s="206"/>
      <c r="H70" s="4"/>
      <c r="I70" s="119" t="str">
        <f t="shared" ref="I70:I86" si="1">IF(H70&gt;=37.8,"Yes","No")</f>
        <v>No</v>
      </c>
      <c r="J70" s="137"/>
      <c r="K70" s="123"/>
      <c r="L70" s="4"/>
      <c r="M70" s="4"/>
      <c r="N70" s="211"/>
      <c r="O70" s="137"/>
      <c r="P70" s="4"/>
      <c r="Q70" s="137"/>
      <c r="R70" s="4"/>
      <c r="S70" s="4"/>
      <c r="T70" s="5"/>
      <c r="U70" s="154"/>
      <c r="V70" s="155"/>
      <c r="W70" s="123"/>
      <c r="X70" s="121"/>
      <c r="Y70" s="248"/>
    </row>
    <row r="71" spans="1:25" x14ac:dyDescent="0.3">
      <c r="A71" s="115"/>
      <c r="B71" s="137"/>
      <c r="C71" s="4"/>
      <c r="D71" s="4"/>
      <c r="E71" s="4"/>
      <c r="F71" s="126"/>
      <c r="G71" s="206"/>
      <c r="H71" s="4"/>
      <c r="I71" s="119" t="str">
        <f t="shared" si="1"/>
        <v>No</v>
      </c>
      <c r="J71" s="137"/>
      <c r="K71" s="123"/>
      <c r="L71" s="4"/>
      <c r="M71" s="4"/>
      <c r="N71" s="211"/>
      <c r="O71" s="137"/>
      <c r="P71" s="4"/>
      <c r="Q71" s="137"/>
      <c r="R71" s="4"/>
      <c r="S71" s="4"/>
      <c r="T71" s="5"/>
      <c r="U71" s="154"/>
      <c r="V71" s="155"/>
      <c r="W71" s="123"/>
      <c r="X71" s="121"/>
      <c r="Y71" s="248"/>
    </row>
    <row r="72" spans="1:25" x14ac:dyDescent="0.3">
      <c r="A72" s="115"/>
      <c r="B72" s="137"/>
      <c r="C72" s="4"/>
      <c r="D72" s="4"/>
      <c r="E72" s="4"/>
      <c r="F72" s="126"/>
      <c r="G72" s="206"/>
      <c r="H72" s="4"/>
      <c r="I72" s="119" t="str">
        <f t="shared" si="1"/>
        <v>No</v>
      </c>
      <c r="J72" s="137"/>
      <c r="K72" s="123"/>
      <c r="L72" s="4"/>
      <c r="M72" s="4"/>
      <c r="N72" s="211"/>
      <c r="O72" s="137"/>
      <c r="P72" s="4"/>
      <c r="Q72" s="137"/>
      <c r="R72" s="4"/>
      <c r="S72" s="4"/>
      <c r="T72" s="5"/>
      <c r="U72" s="154"/>
      <c r="V72" s="155"/>
      <c r="W72" s="123"/>
      <c r="X72" s="121"/>
      <c r="Y72" s="248"/>
    </row>
    <row r="73" spans="1:25" x14ac:dyDescent="0.3">
      <c r="A73" s="115"/>
      <c r="B73" s="137"/>
      <c r="C73" s="4"/>
      <c r="D73" s="4"/>
      <c r="E73" s="4"/>
      <c r="F73" s="126"/>
      <c r="G73" s="206"/>
      <c r="H73" s="4"/>
      <c r="I73" s="119" t="str">
        <f t="shared" si="1"/>
        <v>No</v>
      </c>
      <c r="J73" s="137"/>
      <c r="K73" s="123"/>
      <c r="L73" s="4"/>
      <c r="M73" s="4"/>
      <c r="N73" s="211"/>
      <c r="O73" s="137"/>
      <c r="P73" s="4"/>
      <c r="Q73" s="137"/>
      <c r="R73" s="4"/>
      <c r="S73" s="4"/>
      <c r="T73" s="5"/>
      <c r="U73" s="154"/>
      <c r="V73" s="155"/>
      <c r="W73" s="123"/>
      <c r="X73" s="121"/>
      <c r="Y73" s="248"/>
    </row>
    <row r="74" spans="1:25" x14ac:dyDescent="0.3">
      <c r="A74" s="115"/>
      <c r="B74" s="137"/>
      <c r="C74" s="4"/>
      <c r="D74" s="4"/>
      <c r="E74" s="4"/>
      <c r="F74" s="126"/>
      <c r="G74" s="206"/>
      <c r="H74" s="4"/>
      <c r="I74" s="119" t="str">
        <f t="shared" si="1"/>
        <v>No</v>
      </c>
      <c r="J74" s="137"/>
      <c r="K74" s="123"/>
      <c r="L74" s="4"/>
      <c r="M74" s="4"/>
      <c r="N74" s="211"/>
      <c r="O74" s="137"/>
      <c r="P74" s="4"/>
      <c r="Q74" s="137"/>
      <c r="R74" s="4"/>
      <c r="S74" s="4"/>
      <c r="T74" s="5"/>
      <c r="U74" s="154"/>
      <c r="V74" s="155"/>
      <c r="W74" s="123"/>
      <c r="X74" s="121"/>
      <c r="Y74" s="248"/>
    </row>
    <row r="75" spans="1:25" x14ac:dyDescent="0.3">
      <c r="A75" s="115"/>
      <c r="B75" s="137"/>
      <c r="C75" s="4"/>
      <c r="D75" s="4"/>
      <c r="E75" s="4"/>
      <c r="F75" s="126"/>
      <c r="G75" s="206"/>
      <c r="H75" s="4"/>
      <c r="I75" s="119" t="str">
        <f t="shared" si="1"/>
        <v>No</v>
      </c>
      <c r="J75" s="137"/>
      <c r="K75" s="123"/>
      <c r="L75" s="4"/>
      <c r="M75" s="4"/>
      <c r="N75" s="211"/>
      <c r="O75" s="137"/>
      <c r="P75" s="4"/>
      <c r="Q75" s="137"/>
      <c r="R75" s="4"/>
      <c r="S75" s="4"/>
      <c r="T75" s="5"/>
      <c r="U75" s="154"/>
      <c r="V75" s="155"/>
      <c r="W75" s="123"/>
      <c r="X75" s="121"/>
      <c r="Y75" s="248"/>
    </row>
    <row r="76" spans="1:25" x14ac:dyDescent="0.3">
      <c r="A76" s="115"/>
      <c r="B76" s="137"/>
      <c r="C76" s="4"/>
      <c r="D76" s="4"/>
      <c r="E76" s="4"/>
      <c r="F76" s="126"/>
      <c r="G76" s="206"/>
      <c r="H76" s="4"/>
      <c r="I76" s="119" t="str">
        <f t="shared" si="1"/>
        <v>No</v>
      </c>
      <c r="J76" s="137"/>
      <c r="K76" s="123"/>
      <c r="L76" s="4"/>
      <c r="M76" s="4"/>
      <c r="N76" s="211"/>
      <c r="O76" s="137"/>
      <c r="P76" s="4"/>
      <c r="Q76" s="137"/>
      <c r="R76" s="4"/>
      <c r="S76" s="4"/>
      <c r="T76" s="5"/>
      <c r="U76" s="154"/>
      <c r="V76" s="155"/>
      <c r="W76" s="123"/>
      <c r="X76" s="121"/>
      <c r="Y76" s="248"/>
    </row>
    <row r="77" spans="1:25" x14ac:dyDescent="0.3">
      <c r="A77" s="115"/>
      <c r="B77" s="137"/>
      <c r="C77" s="4"/>
      <c r="D77" s="4"/>
      <c r="E77" s="4"/>
      <c r="F77" s="126"/>
      <c r="G77" s="206"/>
      <c r="H77" s="4"/>
      <c r="I77" s="119" t="str">
        <f t="shared" si="1"/>
        <v>No</v>
      </c>
      <c r="J77" s="137"/>
      <c r="K77" s="123"/>
      <c r="L77" s="4"/>
      <c r="M77" s="4"/>
      <c r="N77" s="211"/>
      <c r="O77" s="137"/>
      <c r="P77" s="4"/>
      <c r="Q77" s="137"/>
      <c r="R77" s="4"/>
      <c r="S77" s="4"/>
      <c r="T77" s="5"/>
      <c r="U77" s="154"/>
      <c r="V77" s="155"/>
      <c r="W77" s="123"/>
      <c r="X77" s="121"/>
      <c r="Y77" s="248"/>
    </row>
    <row r="78" spans="1:25" x14ac:dyDescent="0.3">
      <c r="A78" s="115"/>
      <c r="B78" s="137"/>
      <c r="C78" s="4"/>
      <c r="D78" s="4"/>
      <c r="E78" s="4"/>
      <c r="F78" s="126"/>
      <c r="G78" s="206"/>
      <c r="H78" s="4"/>
      <c r="I78" s="119" t="str">
        <f t="shared" si="1"/>
        <v>No</v>
      </c>
      <c r="J78" s="137"/>
      <c r="K78" s="123"/>
      <c r="L78" s="4"/>
      <c r="M78" s="4"/>
      <c r="N78" s="211"/>
      <c r="O78" s="137"/>
      <c r="P78" s="4"/>
      <c r="Q78" s="137"/>
      <c r="R78" s="4"/>
      <c r="S78" s="4"/>
      <c r="T78" s="5"/>
      <c r="U78" s="154"/>
      <c r="V78" s="155"/>
      <c r="W78" s="123"/>
      <c r="X78" s="121"/>
      <c r="Y78" s="248"/>
    </row>
    <row r="79" spans="1:25" x14ac:dyDescent="0.3">
      <c r="A79" s="115"/>
      <c r="B79" s="137"/>
      <c r="C79" s="4"/>
      <c r="D79" s="4"/>
      <c r="E79" s="4"/>
      <c r="F79" s="126"/>
      <c r="G79" s="206"/>
      <c r="H79" s="4"/>
      <c r="I79" s="119" t="str">
        <f t="shared" si="1"/>
        <v>No</v>
      </c>
      <c r="J79" s="137"/>
      <c r="K79" s="123"/>
      <c r="L79" s="4"/>
      <c r="M79" s="4"/>
      <c r="N79" s="211"/>
      <c r="O79" s="137"/>
      <c r="P79" s="4"/>
      <c r="Q79" s="137"/>
      <c r="R79" s="4"/>
      <c r="S79" s="4"/>
      <c r="T79" s="5"/>
      <c r="U79" s="154"/>
      <c r="V79" s="155"/>
      <c r="W79" s="123"/>
      <c r="X79" s="121"/>
      <c r="Y79" s="248"/>
    </row>
    <row r="80" spans="1:25" x14ac:dyDescent="0.3">
      <c r="A80" s="115"/>
      <c r="B80" s="137"/>
      <c r="C80" s="4"/>
      <c r="D80" s="4"/>
      <c r="E80" s="4"/>
      <c r="F80" s="126"/>
      <c r="G80" s="206"/>
      <c r="H80" s="4"/>
      <c r="I80" s="119" t="str">
        <f t="shared" si="1"/>
        <v>No</v>
      </c>
      <c r="J80" s="137"/>
      <c r="K80" s="123"/>
      <c r="L80" s="4"/>
      <c r="M80" s="4"/>
      <c r="N80" s="211"/>
      <c r="O80" s="137"/>
      <c r="P80" s="4"/>
      <c r="Q80" s="137"/>
      <c r="R80" s="4"/>
      <c r="S80" s="4"/>
      <c r="T80" s="5"/>
      <c r="U80" s="154"/>
      <c r="V80" s="155"/>
      <c r="W80" s="123"/>
      <c r="X80" s="121"/>
      <c r="Y80" s="248"/>
    </row>
    <row r="81" spans="1:25" x14ac:dyDescent="0.3">
      <c r="A81" s="115"/>
      <c r="B81" s="137"/>
      <c r="C81" s="4"/>
      <c r="D81" s="4"/>
      <c r="E81" s="4"/>
      <c r="F81" s="126"/>
      <c r="G81" s="206"/>
      <c r="H81" s="4"/>
      <c r="I81" s="119" t="str">
        <f t="shared" si="1"/>
        <v>No</v>
      </c>
      <c r="J81" s="137"/>
      <c r="K81" s="123"/>
      <c r="L81" s="4"/>
      <c r="M81" s="4"/>
      <c r="N81" s="211"/>
      <c r="O81" s="137"/>
      <c r="P81" s="4"/>
      <c r="Q81" s="137"/>
      <c r="R81" s="4"/>
      <c r="S81" s="4"/>
      <c r="T81" s="5"/>
      <c r="U81" s="154"/>
      <c r="V81" s="155"/>
      <c r="W81" s="123"/>
      <c r="X81" s="5"/>
      <c r="Y81" s="248"/>
    </row>
    <row r="82" spans="1:25" x14ac:dyDescent="0.3">
      <c r="A82" s="115"/>
      <c r="B82" s="137"/>
      <c r="C82" s="4"/>
      <c r="D82" s="4"/>
      <c r="E82" s="4"/>
      <c r="F82" s="126"/>
      <c r="G82" s="206"/>
      <c r="H82" s="4"/>
      <c r="I82" s="119" t="str">
        <f t="shared" si="1"/>
        <v>No</v>
      </c>
      <c r="J82" s="137"/>
      <c r="K82" s="123"/>
      <c r="L82" s="4"/>
      <c r="M82" s="4"/>
      <c r="N82" s="211"/>
      <c r="O82" s="137"/>
      <c r="P82" s="4"/>
      <c r="Q82" s="137"/>
      <c r="R82" s="4"/>
      <c r="S82" s="4"/>
      <c r="T82" s="5"/>
      <c r="U82" s="154"/>
      <c r="V82" s="155"/>
      <c r="W82" s="123"/>
      <c r="X82" s="5"/>
      <c r="Y82" s="248"/>
    </row>
    <row r="83" spans="1:25" x14ac:dyDescent="0.3">
      <c r="A83" s="115"/>
      <c r="B83" s="137"/>
      <c r="C83" s="4"/>
      <c r="D83" s="4"/>
      <c r="E83" s="4"/>
      <c r="F83" s="126"/>
      <c r="G83" s="206"/>
      <c r="H83" s="4"/>
      <c r="I83" s="119" t="str">
        <f t="shared" si="1"/>
        <v>No</v>
      </c>
      <c r="J83" s="137"/>
      <c r="K83" s="123"/>
      <c r="L83" s="4"/>
      <c r="M83" s="4"/>
      <c r="N83" s="211"/>
      <c r="O83" s="137"/>
      <c r="P83" s="4"/>
      <c r="Q83" s="137"/>
      <c r="R83" s="4"/>
      <c r="S83" s="4"/>
      <c r="T83" s="5"/>
      <c r="U83" s="154"/>
      <c r="V83" s="155"/>
      <c r="W83" s="123"/>
      <c r="X83" s="5"/>
      <c r="Y83" s="248"/>
    </row>
    <row r="84" spans="1:25" x14ac:dyDescent="0.3">
      <c r="A84" s="115"/>
      <c r="B84" s="137"/>
      <c r="C84" s="4"/>
      <c r="D84" s="4"/>
      <c r="E84" s="4"/>
      <c r="F84" s="126"/>
      <c r="G84" s="206"/>
      <c r="H84" s="4"/>
      <c r="I84" s="119" t="str">
        <f t="shared" si="1"/>
        <v>No</v>
      </c>
      <c r="J84" s="137"/>
      <c r="K84" s="123"/>
      <c r="L84" s="4"/>
      <c r="M84" s="4"/>
      <c r="N84" s="211"/>
      <c r="O84" s="137"/>
      <c r="P84" s="4"/>
      <c r="Q84" s="137"/>
      <c r="R84" s="4"/>
      <c r="S84" s="4"/>
      <c r="T84" s="5"/>
      <c r="U84" s="154"/>
      <c r="V84" s="155"/>
      <c r="W84" s="123"/>
      <c r="X84" s="5"/>
      <c r="Y84" s="248"/>
    </row>
    <row r="85" spans="1:25" x14ac:dyDescent="0.3">
      <c r="A85" s="115"/>
      <c r="B85" s="137"/>
      <c r="C85" s="4"/>
      <c r="D85" s="4"/>
      <c r="E85" s="4"/>
      <c r="F85" s="126"/>
      <c r="G85" s="206"/>
      <c r="H85" s="4"/>
      <c r="I85" s="119" t="str">
        <f t="shared" si="1"/>
        <v>No</v>
      </c>
      <c r="J85" s="137"/>
      <c r="K85" s="123"/>
      <c r="L85" s="4"/>
      <c r="M85" s="4"/>
      <c r="N85" s="211"/>
      <c r="O85" s="137"/>
      <c r="P85" s="4"/>
      <c r="Q85" s="137"/>
      <c r="R85" s="4"/>
      <c r="S85" s="4"/>
      <c r="T85" s="5"/>
      <c r="U85" s="154"/>
      <c r="V85" s="155"/>
      <c r="W85" s="123"/>
      <c r="X85" s="5"/>
      <c r="Y85" s="248"/>
    </row>
    <row r="86" spans="1:25" x14ac:dyDescent="0.3">
      <c r="A86" s="115"/>
      <c r="B86" s="137"/>
      <c r="C86" s="4"/>
      <c r="D86" s="4"/>
      <c r="E86" s="4"/>
      <c r="F86" s="126"/>
      <c r="G86" s="206"/>
      <c r="H86" s="4"/>
      <c r="I86" s="119" t="str">
        <f t="shared" si="1"/>
        <v>No</v>
      </c>
      <c r="J86" s="137"/>
      <c r="K86" s="123"/>
      <c r="L86" s="4"/>
      <c r="M86" s="4"/>
      <c r="N86" s="211"/>
      <c r="O86" s="137"/>
      <c r="P86" s="4"/>
      <c r="Q86" s="137"/>
      <c r="R86" s="4"/>
      <c r="S86" s="4"/>
      <c r="T86" s="5"/>
      <c r="U86" s="154"/>
      <c r="V86" s="155"/>
      <c r="W86" s="123"/>
      <c r="X86" s="5"/>
      <c r="Y86" s="248"/>
    </row>
    <row r="87" spans="1:25" x14ac:dyDescent="0.3">
      <c r="A87" s="115"/>
      <c r="B87" s="137"/>
      <c r="C87" s="4"/>
      <c r="D87" s="4"/>
      <c r="E87" s="4"/>
      <c r="F87" s="126"/>
      <c r="G87" s="206"/>
      <c r="H87" s="4"/>
      <c r="I87" s="119" t="s">
        <v>136</v>
      </c>
      <c r="J87" s="137"/>
      <c r="K87" s="123"/>
      <c r="L87" s="4"/>
      <c r="M87" s="4"/>
      <c r="N87" s="211"/>
      <c r="O87" s="137"/>
      <c r="P87" s="4"/>
      <c r="Q87" s="137"/>
      <c r="R87" s="4"/>
      <c r="S87" s="4"/>
      <c r="T87" s="5"/>
      <c r="U87" s="154"/>
      <c r="V87" s="155"/>
      <c r="W87" s="123"/>
      <c r="X87" s="5"/>
      <c r="Y87" s="248"/>
    </row>
    <row r="88" spans="1:25" x14ac:dyDescent="0.3">
      <c r="A88" s="115"/>
      <c r="B88" s="137"/>
      <c r="C88" s="4"/>
      <c r="D88" s="4"/>
      <c r="E88" s="7"/>
      <c r="F88" s="126"/>
      <c r="G88" s="206"/>
      <c r="H88" s="4"/>
      <c r="I88" s="119" t="str">
        <f t="shared" ref="I88:I151" si="2">IF(H88&gt;=37.8,"Yes","No")</f>
        <v>No</v>
      </c>
      <c r="J88" s="137"/>
      <c r="K88" s="123"/>
      <c r="L88" s="4"/>
      <c r="M88" s="4"/>
      <c r="N88" s="211"/>
      <c r="O88" s="137"/>
      <c r="P88" s="4"/>
      <c r="Q88" s="137"/>
      <c r="R88" s="4"/>
      <c r="S88" s="4"/>
      <c r="T88" s="5"/>
      <c r="U88" s="154"/>
      <c r="V88" s="155"/>
      <c r="W88" s="123"/>
      <c r="X88" s="5"/>
      <c r="Y88" s="248"/>
    </row>
    <row r="89" spans="1:25" x14ac:dyDescent="0.3">
      <c r="A89" s="115"/>
      <c r="B89" s="137"/>
      <c r="C89" s="4"/>
      <c r="D89" s="4"/>
      <c r="E89" s="4"/>
      <c r="F89" s="126"/>
      <c r="G89" s="206"/>
      <c r="H89" s="4"/>
      <c r="I89" s="119" t="str">
        <f t="shared" si="2"/>
        <v>No</v>
      </c>
      <c r="J89" s="137"/>
      <c r="K89" s="123"/>
      <c r="L89" s="4"/>
      <c r="M89" s="4"/>
      <c r="N89" s="211"/>
      <c r="O89" s="137"/>
      <c r="P89" s="4"/>
      <c r="Q89" s="137"/>
      <c r="R89" s="4"/>
      <c r="S89" s="4"/>
      <c r="T89" s="5"/>
      <c r="U89" s="154"/>
      <c r="V89" s="155"/>
      <c r="W89" s="123"/>
      <c r="X89" s="5"/>
      <c r="Y89" s="248"/>
    </row>
    <row r="90" spans="1:25" x14ac:dyDescent="0.3">
      <c r="A90" s="115"/>
      <c r="B90" s="137"/>
      <c r="C90" s="4"/>
      <c r="D90" s="4"/>
      <c r="E90" s="4"/>
      <c r="F90" s="126"/>
      <c r="G90" s="206"/>
      <c r="H90" s="4"/>
      <c r="I90" s="119" t="str">
        <f t="shared" si="2"/>
        <v>No</v>
      </c>
      <c r="J90" s="137"/>
      <c r="K90" s="123"/>
      <c r="L90" s="4"/>
      <c r="M90" s="4"/>
      <c r="N90" s="211"/>
      <c r="O90" s="137"/>
      <c r="P90" s="4"/>
      <c r="Q90" s="137"/>
      <c r="R90" s="4"/>
      <c r="S90" s="4"/>
      <c r="T90" s="5"/>
      <c r="U90" s="154"/>
      <c r="V90" s="155"/>
      <c r="W90" s="123"/>
      <c r="X90" s="5"/>
      <c r="Y90" s="248"/>
    </row>
    <row r="91" spans="1:25" x14ac:dyDescent="0.3">
      <c r="A91" s="115"/>
      <c r="B91" s="137"/>
      <c r="C91" s="4"/>
      <c r="D91" s="4"/>
      <c r="E91" s="4"/>
      <c r="F91" s="126"/>
      <c r="G91" s="206"/>
      <c r="H91" s="4"/>
      <c r="I91" s="119" t="str">
        <f t="shared" si="2"/>
        <v>No</v>
      </c>
      <c r="J91" s="137"/>
      <c r="K91" s="123"/>
      <c r="L91" s="4"/>
      <c r="M91" s="4"/>
      <c r="N91" s="211"/>
      <c r="O91" s="137"/>
      <c r="P91" s="4"/>
      <c r="Q91" s="137"/>
      <c r="R91" s="4"/>
      <c r="S91" s="4"/>
      <c r="T91" s="5"/>
      <c r="U91" s="154"/>
      <c r="V91" s="155"/>
      <c r="W91" s="123"/>
      <c r="X91" s="5"/>
      <c r="Y91" s="248"/>
    </row>
    <row r="92" spans="1:25" x14ac:dyDescent="0.3">
      <c r="A92" s="115"/>
      <c r="B92" s="137"/>
      <c r="C92" s="4"/>
      <c r="D92" s="4"/>
      <c r="E92" s="4"/>
      <c r="F92" s="126"/>
      <c r="G92" s="206"/>
      <c r="H92" s="4"/>
      <c r="I92" s="119" t="str">
        <f t="shared" si="2"/>
        <v>No</v>
      </c>
      <c r="J92" s="137"/>
      <c r="K92" s="123"/>
      <c r="L92" s="4"/>
      <c r="M92" s="4"/>
      <c r="N92" s="211"/>
      <c r="O92" s="137"/>
      <c r="P92" s="4"/>
      <c r="Q92" s="137"/>
      <c r="R92" s="4"/>
      <c r="S92" s="4"/>
      <c r="T92" s="5"/>
      <c r="U92" s="154"/>
      <c r="V92" s="155"/>
      <c r="W92" s="123"/>
      <c r="X92" s="5"/>
      <c r="Y92" s="248"/>
    </row>
    <row r="93" spans="1:25" x14ac:dyDescent="0.3">
      <c r="A93" s="115"/>
      <c r="B93" s="137"/>
      <c r="C93" s="4"/>
      <c r="D93" s="4"/>
      <c r="E93" s="4"/>
      <c r="F93" s="126"/>
      <c r="G93" s="206"/>
      <c r="H93" s="4"/>
      <c r="I93" s="119" t="str">
        <f t="shared" si="2"/>
        <v>No</v>
      </c>
      <c r="J93" s="137"/>
      <c r="K93" s="123"/>
      <c r="L93" s="4"/>
      <c r="M93" s="4"/>
      <c r="N93" s="211"/>
      <c r="O93" s="137"/>
      <c r="P93" s="4"/>
      <c r="Q93" s="137"/>
      <c r="R93" s="4"/>
      <c r="S93" s="4"/>
      <c r="T93" s="5"/>
      <c r="U93" s="154"/>
      <c r="V93" s="155"/>
      <c r="W93" s="123"/>
      <c r="X93" s="5"/>
      <c r="Y93" s="248"/>
    </row>
    <row r="94" spans="1:25" x14ac:dyDescent="0.3">
      <c r="A94" s="115"/>
      <c r="B94" s="137"/>
      <c r="C94" s="4"/>
      <c r="D94" s="4"/>
      <c r="E94" s="4"/>
      <c r="F94" s="126"/>
      <c r="G94" s="206"/>
      <c r="H94" s="4"/>
      <c r="I94" s="119" t="str">
        <f t="shared" si="2"/>
        <v>No</v>
      </c>
      <c r="J94" s="137"/>
      <c r="K94" s="123"/>
      <c r="L94" s="4"/>
      <c r="M94" s="4"/>
      <c r="N94" s="211"/>
      <c r="O94" s="137"/>
      <c r="P94" s="4"/>
      <c r="Q94" s="137"/>
      <c r="R94" s="4"/>
      <c r="S94" s="4"/>
      <c r="T94" s="5"/>
      <c r="U94" s="154"/>
      <c r="V94" s="155"/>
      <c r="W94" s="123"/>
      <c r="X94" s="5"/>
      <c r="Y94" s="248"/>
    </row>
    <row r="95" spans="1:25" x14ac:dyDescent="0.3">
      <c r="A95" s="115"/>
      <c r="B95" s="137"/>
      <c r="C95" s="4"/>
      <c r="D95" s="4"/>
      <c r="E95" s="4"/>
      <c r="F95" s="126"/>
      <c r="G95" s="206"/>
      <c r="H95" s="4"/>
      <c r="I95" s="119" t="str">
        <f t="shared" si="2"/>
        <v>No</v>
      </c>
      <c r="J95" s="137"/>
      <c r="K95" s="123"/>
      <c r="L95" s="4"/>
      <c r="M95" s="4"/>
      <c r="N95" s="211"/>
      <c r="O95" s="137"/>
      <c r="P95" s="4"/>
      <c r="Q95" s="137"/>
      <c r="R95" s="4"/>
      <c r="S95" s="4"/>
      <c r="T95" s="5"/>
      <c r="U95" s="154"/>
      <c r="V95" s="155"/>
      <c r="W95" s="123"/>
      <c r="X95" s="5"/>
      <c r="Y95" s="248"/>
    </row>
    <row r="96" spans="1:25" x14ac:dyDescent="0.3">
      <c r="A96" s="115"/>
      <c r="B96" s="137"/>
      <c r="C96" s="4"/>
      <c r="D96" s="4"/>
      <c r="E96" s="4"/>
      <c r="F96" s="126"/>
      <c r="G96" s="206"/>
      <c r="H96" s="4"/>
      <c r="I96" s="119" t="str">
        <f t="shared" si="2"/>
        <v>No</v>
      </c>
      <c r="J96" s="137"/>
      <c r="K96" s="123"/>
      <c r="L96" s="4"/>
      <c r="M96" s="4"/>
      <c r="N96" s="211"/>
      <c r="O96" s="137"/>
      <c r="P96" s="4"/>
      <c r="Q96" s="137"/>
      <c r="R96" s="4"/>
      <c r="S96" s="4"/>
      <c r="T96" s="5"/>
      <c r="U96" s="154"/>
      <c r="V96" s="155"/>
      <c r="W96" s="123"/>
      <c r="X96" s="5"/>
      <c r="Y96" s="248"/>
    </row>
    <row r="97" spans="1:25" x14ac:dyDescent="0.3">
      <c r="A97" s="115"/>
      <c r="B97" s="137"/>
      <c r="C97" s="4"/>
      <c r="D97" s="4"/>
      <c r="E97" s="4"/>
      <c r="F97" s="126"/>
      <c r="G97" s="206"/>
      <c r="H97" s="4"/>
      <c r="I97" s="119" t="str">
        <f t="shared" si="2"/>
        <v>No</v>
      </c>
      <c r="J97" s="137"/>
      <c r="K97" s="123"/>
      <c r="L97" s="4"/>
      <c r="M97" s="4"/>
      <c r="N97" s="211"/>
      <c r="O97" s="137"/>
      <c r="P97" s="4"/>
      <c r="Q97" s="137"/>
      <c r="R97" s="4"/>
      <c r="S97" s="4"/>
      <c r="T97" s="5"/>
      <c r="U97" s="154"/>
      <c r="V97" s="155"/>
      <c r="W97" s="123"/>
      <c r="X97" s="5"/>
      <c r="Y97" s="248"/>
    </row>
    <row r="98" spans="1:25" x14ac:dyDescent="0.3">
      <c r="A98" s="115"/>
      <c r="B98" s="137"/>
      <c r="C98" s="4"/>
      <c r="D98" s="4"/>
      <c r="E98" s="4"/>
      <c r="F98" s="126"/>
      <c r="G98" s="206"/>
      <c r="H98" s="4"/>
      <c r="I98" s="119" t="str">
        <f t="shared" si="2"/>
        <v>No</v>
      </c>
      <c r="J98" s="137"/>
      <c r="K98" s="123"/>
      <c r="L98" s="4"/>
      <c r="M98" s="4"/>
      <c r="N98" s="211"/>
      <c r="O98" s="137"/>
      <c r="P98" s="4"/>
      <c r="Q98" s="137"/>
      <c r="R98" s="4"/>
      <c r="S98" s="4"/>
      <c r="T98" s="5"/>
      <c r="U98" s="154"/>
      <c r="V98" s="155"/>
      <c r="W98" s="123"/>
      <c r="X98" s="5"/>
      <c r="Y98" s="248"/>
    </row>
    <row r="99" spans="1:25" x14ac:dyDescent="0.3">
      <c r="A99" s="115"/>
      <c r="B99" s="137"/>
      <c r="C99" s="4"/>
      <c r="D99" s="4"/>
      <c r="E99" s="4"/>
      <c r="F99" s="126"/>
      <c r="G99" s="206"/>
      <c r="H99" s="4"/>
      <c r="I99" s="119" t="str">
        <f t="shared" si="2"/>
        <v>No</v>
      </c>
      <c r="J99" s="137"/>
      <c r="K99" s="123"/>
      <c r="L99" s="4"/>
      <c r="M99" s="4"/>
      <c r="N99" s="211"/>
      <c r="O99" s="137"/>
      <c r="P99" s="4"/>
      <c r="Q99" s="137"/>
      <c r="R99" s="4"/>
      <c r="S99" s="4"/>
      <c r="T99" s="5"/>
      <c r="U99" s="154"/>
      <c r="V99" s="155"/>
      <c r="W99" s="123"/>
      <c r="X99" s="5"/>
      <c r="Y99" s="248"/>
    </row>
    <row r="100" spans="1:25" x14ac:dyDescent="0.3">
      <c r="A100" s="115"/>
      <c r="B100" s="137"/>
      <c r="C100" s="4"/>
      <c r="D100" s="4"/>
      <c r="E100" s="4"/>
      <c r="F100" s="126"/>
      <c r="G100" s="206"/>
      <c r="H100" s="4"/>
      <c r="I100" s="119" t="str">
        <f t="shared" si="2"/>
        <v>No</v>
      </c>
      <c r="J100" s="137"/>
      <c r="K100" s="123"/>
      <c r="L100" s="4"/>
      <c r="M100" s="4"/>
      <c r="N100" s="211"/>
      <c r="O100" s="137"/>
      <c r="P100" s="4"/>
      <c r="Q100" s="137"/>
      <c r="R100" s="4"/>
      <c r="S100" s="4"/>
      <c r="T100" s="5"/>
      <c r="U100" s="154"/>
      <c r="V100" s="155"/>
      <c r="W100" s="123"/>
      <c r="X100" s="5"/>
      <c r="Y100" s="248"/>
    </row>
    <row r="101" spans="1:25" x14ac:dyDescent="0.3">
      <c r="A101" s="115"/>
      <c r="B101" s="137"/>
      <c r="C101" s="4"/>
      <c r="D101" s="4"/>
      <c r="E101" s="4"/>
      <c r="F101" s="126"/>
      <c r="G101" s="206"/>
      <c r="H101" s="4"/>
      <c r="I101" s="119" t="str">
        <f t="shared" si="2"/>
        <v>No</v>
      </c>
      <c r="J101" s="137"/>
      <c r="K101" s="123"/>
      <c r="L101" s="4"/>
      <c r="M101" s="4"/>
      <c r="N101" s="211"/>
      <c r="O101" s="137"/>
      <c r="P101" s="4"/>
      <c r="Q101" s="137"/>
      <c r="R101" s="4"/>
      <c r="S101" s="4"/>
      <c r="T101" s="5"/>
      <c r="U101" s="154"/>
      <c r="V101" s="155"/>
      <c r="W101" s="123"/>
      <c r="X101" s="121"/>
      <c r="Y101" s="248"/>
    </row>
    <row r="102" spans="1:25" x14ac:dyDescent="0.3">
      <c r="A102" s="115"/>
      <c r="B102" s="137"/>
      <c r="C102" s="4"/>
      <c r="D102" s="4"/>
      <c r="E102" s="7"/>
      <c r="F102" s="126"/>
      <c r="G102" s="206"/>
      <c r="H102" s="4"/>
      <c r="I102" s="119" t="str">
        <f t="shared" si="2"/>
        <v>No</v>
      </c>
      <c r="J102" s="137"/>
      <c r="K102" s="123"/>
      <c r="L102" s="4"/>
      <c r="M102" s="4"/>
      <c r="N102" s="211"/>
      <c r="O102" s="137"/>
      <c r="P102" s="4"/>
      <c r="Q102" s="137"/>
      <c r="R102" s="4"/>
      <c r="S102" s="4"/>
      <c r="T102" s="5"/>
      <c r="U102" s="154"/>
      <c r="V102" s="155"/>
      <c r="W102" s="123"/>
      <c r="X102" s="121"/>
      <c r="Y102" s="248"/>
    </row>
    <row r="103" spans="1:25" x14ac:dyDescent="0.3">
      <c r="A103" s="115"/>
      <c r="B103" s="137"/>
      <c r="C103" s="4"/>
      <c r="D103" s="4"/>
      <c r="E103" s="4"/>
      <c r="F103" s="126"/>
      <c r="G103" s="206"/>
      <c r="H103" s="4"/>
      <c r="I103" s="119" t="str">
        <f t="shared" si="2"/>
        <v>No</v>
      </c>
      <c r="J103" s="137"/>
      <c r="K103" s="123"/>
      <c r="L103" s="4"/>
      <c r="M103" s="4"/>
      <c r="N103" s="211"/>
      <c r="O103" s="137"/>
      <c r="P103" s="4"/>
      <c r="Q103" s="137"/>
      <c r="R103" s="4"/>
      <c r="S103" s="4"/>
      <c r="T103" s="5"/>
      <c r="U103" s="154"/>
      <c r="V103" s="155"/>
      <c r="W103" s="123"/>
      <c r="X103" s="121"/>
      <c r="Y103" s="248"/>
    </row>
    <row r="104" spans="1:25" x14ac:dyDescent="0.3">
      <c r="A104" s="115"/>
      <c r="B104" s="137"/>
      <c r="C104" s="4"/>
      <c r="D104" s="4"/>
      <c r="E104" s="4"/>
      <c r="F104" s="126"/>
      <c r="G104" s="206"/>
      <c r="H104" s="4"/>
      <c r="I104" s="119" t="str">
        <f t="shared" si="2"/>
        <v>No</v>
      </c>
      <c r="J104" s="137"/>
      <c r="K104" s="123"/>
      <c r="L104" s="4"/>
      <c r="M104" s="4"/>
      <c r="N104" s="211"/>
      <c r="O104" s="137"/>
      <c r="P104" s="4"/>
      <c r="Q104" s="137"/>
      <c r="R104" s="4"/>
      <c r="S104" s="4"/>
      <c r="T104" s="5"/>
      <c r="U104" s="154"/>
      <c r="V104" s="155"/>
      <c r="W104" s="123"/>
      <c r="X104" s="121"/>
      <c r="Y104" s="248"/>
    </row>
    <row r="105" spans="1:25" x14ac:dyDescent="0.3">
      <c r="A105" s="115"/>
      <c r="B105" s="137"/>
      <c r="C105" s="4"/>
      <c r="D105" s="4"/>
      <c r="E105" s="4"/>
      <c r="F105" s="126"/>
      <c r="G105" s="206"/>
      <c r="H105" s="4"/>
      <c r="I105" s="119" t="str">
        <f t="shared" si="2"/>
        <v>No</v>
      </c>
      <c r="J105" s="137"/>
      <c r="K105" s="123"/>
      <c r="L105" s="4"/>
      <c r="M105" s="4"/>
      <c r="N105" s="211"/>
      <c r="O105" s="137"/>
      <c r="P105" s="4"/>
      <c r="Q105" s="137"/>
      <c r="R105" s="4"/>
      <c r="S105" s="4"/>
      <c r="T105" s="5"/>
      <c r="U105" s="154"/>
      <c r="V105" s="155"/>
      <c r="W105" s="123"/>
      <c r="X105" s="121"/>
      <c r="Y105" s="248"/>
    </row>
    <row r="106" spans="1:25" x14ac:dyDescent="0.3">
      <c r="A106" s="115"/>
      <c r="B106" s="137"/>
      <c r="C106" s="4"/>
      <c r="D106" s="4"/>
      <c r="E106" s="7"/>
      <c r="F106" s="126"/>
      <c r="G106" s="206"/>
      <c r="H106" s="4"/>
      <c r="I106" s="119" t="str">
        <f t="shared" si="2"/>
        <v>No</v>
      </c>
      <c r="J106" s="137"/>
      <c r="K106" s="123"/>
      <c r="L106" s="4"/>
      <c r="M106" s="4"/>
      <c r="N106" s="211"/>
      <c r="O106" s="137"/>
      <c r="P106" s="4"/>
      <c r="Q106" s="137"/>
      <c r="R106" s="4"/>
      <c r="S106" s="4"/>
      <c r="T106" s="5"/>
      <c r="U106" s="154"/>
      <c r="V106" s="155"/>
      <c r="W106" s="123"/>
      <c r="X106" s="121"/>
      <c r="Y106" s="248"/>
    </row>
    <row r="107" spans="1:25" x14ac:dyDescent="0.3">
      <c r="A107" s="115"/>
      <c r="B107" s="137"/>
      <c r="C107" s="4"/>
      <c r="D107" s="4"/>
      <c r="E107" s="4"/>
      <c r="F107" s="126"/>
      <c r="G107" s="206"/>
      <c r="H107" s="4"/>
      <c r="I107" s="119" t="str">
        <f t="shared" si="2"/>
        <v>No</v>
      </c>
      <c r="J107" s="137"/>
      <c r="K107" s="123"/>
      <c r="L107" s="4"/>
      <c r="M107" s="4"/>
      <c r="N107" s="211"/>
      <c r="O107" s="137"/>
      <c r="P107" s="4"/>
      <c r="Q107" s="137"/>
      <c r="R107" s="4"/>
      <c r="S107" s="4"/>
      <c r="T107" s="5"/>
      <c r="U107" s="154"/>
      <c r="V107" s="155"/>
      <c r="W107" s="123"/>
      <c r="X107" s="121"/>
      <c r="Y107" s="248"/>
    </row>
    <row r="108" spans="1:25" x14ac:dyDescent="0.3">
      <c r="A108" s="115"/>
      <c r="B108" s="137"/>
      <c r="C108" s="4"/>
      <c r="D108" s="4"/>
      <c r="E108" s="4"/>
      <c r="F108" s="126"/>
      <c r="G108" s="206"/>
      <c r="H108" s="4"/>
      <c r="I108" s="119" t="str">
        <f t="shared" si="2"/>
        <v>No</v>
      </c>
      <c r="J108" s="137"/>
      <c r="K108" s="123"/>
      <c r="L108" s="4"/>
      <c r="M108" s="4"/>
      <c r="N108" s="211"/>
      <c r="O108" s="137"/>
      <c r="P108" s="4"/>
      <c r="Q108" s="137"/>
      <c r="R108" s="4"/>
      <c r="S108" s="4"/>
      <c r="T108" s="5"/>
      <c r="U108" s="154"/>
      <c r="V108" s="155"/>
      <c r="W108" s="123"/>
      <c r="X108" s="121"/>
      <c r="Y108" s="248"/>
    </row>
    <row r="109" spans="1:25" x14ac:dyDescent="0.3">
      <c r="A109" s="115"/>
      <c r="B109" s="137"/>
      <c r="C109" s="4"/>
      <c r="D109" s="4"/>
      <c r="E109" s="4"/>
      <c r="F109" s="126"/>
      <c r="G109" s="206"/>
      <c r="H109" s="4"/>
      <c r="I109" s="119" t="str">
        <f t="shared" si="2"/>
        <v>No</v>
      </c>
      <c r="J109" s="137"/>
      <c r="K109" s="123"/>
      <c r="L109" s="4"/>
      <c r="M109" s="4"/>
      <c r="N109" s="211"/>
      <c r="O109" s="137"/>
      <c r="P109" s="4"/>
      <c r="Q109" s="137"/>
      <c r="R109" s="4"/>
      <c r="S109" s="4"/>
      <c r="T109" s="5"/>
      <c r="U109" s="154"/>
      <c r="V109" s="155"/>
      <c r="W109" s="123"/>
      <c r="X109" s="121"/>
      <c r="Y109" s="248"/>
    </row>
    <row r="110" spans="1:25" x14ac:dyDescent="0.3">
      <c r="A110" s="115"/>
      <c r="B110" s="137"/>
      <c r="C110" s="4"/>
      <c r="D110" s="4"/>
      <c r="E110" s="4"/>
      <c r="F110" s="126"/>
      <c r="G110" s="206"/>
      <c r="H110" s="4"/>
      <c r="I110" s="119" t="str">
        <f t="shared" si="2"/>
        <v>No</v>
      </c>
      <c r="J110" s="137"/>
      <c r="K110" s="123"/>
      <c r="L110" s="4"/>
      <c r="M110" s="4"/>
      <c r="N110" s="211"/>
      <c r="O110" s="137"/>
      <c r="P110" s="4"/>
      <c r="Q110" s="137"/>
      <c r="R110" s="4"/>
      <c r="S110" s="4"/>
      <c r="T110" s="5"/>
      <c r="U110" s="154"/>
      <c r="V110" s="155"/>
      <c r="W110" s="123"/>
      <c r="X110" s="121"/>
      <c r="Y110" s="248"/>
    </row>
    <row r="111" spans="1:25" x14ac:dyDescent="0.3">
      <c r="A111" s="115"/>
      <c r="B111" s="137"/>
      <c r="C111" s="4"/>
      <c r="D111" s="4"/>
      <c r="E111" s="4"/>
      <c r="F111" s="126"/>
      <c r="G111" s="206"/>
      <c r="H111" s="4"/>
      <c r="I111" s="119" t="str">
        <f t="shared" si="2"/>
        <v>No</v>
      </c>
      <c r="J111" s="137"/>
      <c r="K111" s="123"/>
      <c r="L111" s="4"/>
      <c r="M111" s="4"/>
      <c r="N111" s="211"/>
      <c r="O111" s="137"/>
      <c r="P111" s="4"/>
      <c r="Q111" s="137"/>
      <c r="R111" s="4"/>
      <c r="S111" s="4"/>
      <c r="T111" s="5"/>
      <c r="U111" s="154"/>
      <c r="V111" s="155"/>
      <c r="W111" s="123"/>
      <c r="X111" s="121"/>
      <c r="Y111" s="248"/>
    </row>
    <row r="112" spans="1:25" x14ac:dyDescent="0.3">
      <c r="A112" s="115"/>
      <c r="B112" s="137"/>
      <c r="C112" s="4"/>
      <c r="D112" s="4"/>
      <c r="E112" s="4"/>
      <c r="F112" s="126"/>
      <c r="G112" s="206"/>
      <c r="H112" s="4"/>
      <c r="I112" s="119" t="str">
        <f t="shared" si="2"/>
        <v>No</v>
      </c>
      <c r="J112" s="137"/>
      <c r="K112" s="123"/>
      <c r="L112" s="4"/>
      <c r="M112" s="4"/>
      <c r="N112" s="211"/>
      <c r="O112" s="137"/>
      <c r="P112" s="4"/>
      <c r="Q112" s="137"/>
      <c r="R112" s="4"/>
      <c r="S112" s="4"/>
      <c r="T112" s="5"/>
      <c r="U112" s="154"/>
      <c r="V112" s="155"/>
      <c r="W112" s="123"/>
      <c r="X112" s="121"/>
      <c r="Y112" s="248"/>
    </row>
    <row r="113" spans="1:25" x14ac:dyDescent="0.3">
      <c r="A113" s="115"/>
      <c r="B113" s="137"/>
      <c r="C113" s="4"/>
      <c r="D113" s="4"/>
      <c r="E113" s="4"/>
      <c r="F113" s="126"/>
      <c r="G113" s="206"/>
      <c r="H113" s="4"/>
      <c r="I113" s="119" t="str">
        <f t="shared" si="2"/>
        <v>No</v>
      </c>
      <c r="J113" s="137"/>
      <c r="K113" s="123"/>
      <c r="L113" s="4"/>
      <c r="M113" s="4"/>
      <c r="N113" s="211"/>
      <c r="O113" s="137"/>
      <c r="P113" s="4"/>
      <c r="Q113" s="137"/>
      <c r="R113" s="4"/>
      <c r="S113" s="4"/>
      <c r="T113" s="5"/>
      <c r="U113" s="154"/>
      <c r="V113" s="155"/>
      <c r="W113" s="123"/>
      <c r="X113" s="121"/>
      <c r="Y113" s="248"/>
    </row>
    <row r="114" spans="1:25" x14ac:dyDescent="0.3">
      <c r="A114" s="115"/>
      <c r="B114" s="137"/>
      <c r="C114" s="4"/>
      <c r="D114" s="4"/>
      <c r="E114" s="7"/>
      <c r="F114" s="126"/>
      <c r="G114" s="206"/>
      <c r="H114" s="4"/>
      <c r="I114" s="119" t="str">
        <f t="shared" si="2"/>
        <v>No</v>
      </c>
      <c r="J114" s="137"/>
      <c r="K114" s="123"/>
      <c r="L114" s="4"/>
      <c r="M114" s="4"/>
      <c r="N114" s="211"/>
      <c r="O114" s="137"/>
      <c r="P114" s="4"/>
      <c r="Q114" s="137"/>
      <c r="R114" s="4"/>
      <c r="S114" s="4"/>
      <c r="T114" s="5"/>
      <c r="U114" s="154"/>
      <c r="V114" s="155"/>
      <c r="W114" s="123"/>
      <c r="X114" s="5"/>
      <c r="Y114" s="248"/>
    </row>
    <row r="115" spans="1:25" x14ac:dyDescent="0.3">
      <c r="A115" s="115"/>
      <c r="B115" s="137"/>
      <c r="C115" s="4"/>
      <c r="D115" s="4"/>
      <c r="E115" s="4"/>
      <c r="F115" s="126"/>
      <c r="G115" s="206"/>
      <c r="H115" s="4"/>
      <c r="I115" s="119" t="str">
        <f t="shared" si="2"/>
        <v>No</v>
      </c>
      <c r="J115" s="137"/>
      <c r="K115" s="123"/>
      <c r="L115" s="4"/>
      <c r="M115" s="4"/>
      <c r="N115" s="211"/>
      <c r="O115" s="137"/>
      <c r="P115" s="4"/>
      <c r="Q115" s="137"/>
      <c r="R115" s="4"/>
      <c r="S115" s="4"/>
      <c r="T115" s="5"/>
      <c r="U115" s="154"/>
      <c r="V115" s="155"/>
      <c r="W115" s="123"/>
      <c r="X115" s="5"/>
      <c r="Y115" s="248"/>
    </row>
    <row r="116" spans="1:25" x14ac:dyDescent="0.3">
      <c r="A116" s="115"/>
      <c r="B116" s="137"/>
      <c r="C116" s="4"/>
      <c r="D116" s="4"/>
      <c r="E116" s="7"/>
      <c r="F116" s="126"/>
      <c r="G116" s="206"/>
      <c r="H116" s="4"/>
      <c r="I116" s="119" t="str">
        <f t="shared" si="2"/>
        <v>No</v>
      </c>
      <c r="J116" s="137"/>
      <c r="K116" s="123"/>
      <c r="L116" s="4"/>
      <c r="M116" s="4"/>
      <c r="N116" s="211"/>
      <c r="O116" s="137"/>
      <c r="P116" s="4"/>
      <c r="Q116" s="137"/>
      <c r="R116" s="4"/>
      <c r="S116" s="4"/>
      <c r="T116" s="5"/>
      <c r="U116" s="154"/>
      <c r="V116" s="155"/>
      <c r="W116" s="123"/>
      <c r="X116" s="5"/>
      <c r="Y116" s="248"/>
    </row>
    <row r="117" spans="1:25" x14ac:dyDescent="0.3">
      <c r="A117" s="115"/>
      <c r="B117" s="137"/>
      <c r="C117" s="4"/>
      <c r="D117" s="4"/>
      <c r="E117" s="4"/>
      <c r="F117" s="126"/>
      <c r="G117" s="206"/>
      <c r="H117" s="4"/>
      <c r="I117" s="119" t="str">
        <f t="shared" si="2"/>
        <v>No</v>
      </c>
      <c r="J117" s="137"/>
      <c r="K117" s="123"/>
      <c r="L117" s="4"/>
      <c r="M117" s="4"/>
      <c r="N117" s="211"/>
      <c r="O117" s="137"/>
      <c r="P117" s="4"/>
      <c r="Q117" s="137"/>
      <c r="R117" s="4"/>
      <c r="S117" s="4"/>
      <c r="T117" s="5"/>
      <c r="U117" s="154"/>
      <c r="V117" s="155"/>
      <c r="W117" s="123"/>
      <c r="X117" s="5"/>
      <c r="Y117" s="248"/>
    </row>
    <row r="118" spans="1:25" x14ac:dyDescent="0.3">
      <c r="A118" s="115"/>
      <c r="B118" s="137"/>
      <c r="C118" s="4"/>
      <c r="D118" s="4"/>
      <c r="E118" s="4"/>
      <c r="F118" s="126"/>
      <c r="G118" s="206"/>
      <c r="H118" s="4"/>
      <c r="I118" s="119" t="str">
        <f t="shared" si="2"/>
        <v>No</v>
      </c>
      <c r="J118" s="137"/>
      <c r="K118" s="123"/>
      <c r="L118" s="4"/>
      <c r="M118" s="4"/>
      <c r="N118" s="211"/>
      <c r="O118" s="137"/>
      <c r="P118" s="4"/>
      <c r="Q118" s="137"/>
      <c r="R118" s="4"/>
      <c r="S118" s="4"/>
      <c r="T118" s="5"/>
      <c r="U118" s="154"/>
      <c r="V118" s="155"/>
      <c r="W118" s="123"/>
      <c r="X118" s="5"/>
      <c r="Y118" s="248"/>
    </row>
    <row r="119" spans="1:25" x14ac:dyDescent="0.3">
      <c r="A119" s="115"/>
      <c r="B119" s="137"/>
      <c r="C119" s="4"/>
      <c r="D119" s="4"/>
      <c r="E119" s="4"/>
      <c r="F119" s="126"/>
      <c r="G119" s="206"/>
      <c r="H119" s="4"/>
      <c r="I119" s="119" t="str">
        <f t="shared" si="2"/>
        <v>No</v>
      </c>
      <c r="J119" s="137"/>
      <c r="K119" s="123"/>
      <c r="L119" s="4"/>
      <c r="M119" s="4"/>
      <c r="N119" s="211"/>
      <c r="O119" s="137"/>
      <c r="P119" s="4"/>
      <c r="Q119" s="137"/>
      <c r="R119" s="4"/>
      <c r="S119" s="4"/>
      <c r="T119" s="5"/>
      <c r="U119" s="154"/>
      <c r="V119" s="155"/>
      <c r="W119" s="123"/>
      <c r="X119" s="5"/>
      <c r="Y119" s="248"/>
    </row>
    <row r="120" spans="1:25" x14ac:dyDescent="0.3">
      <c r="A120" s="115"/>
      <c r="B120" s="137"/>
      <c r="C120" s="4"/>
      <c r="D120" s="4"/>
      <c r="E120" s="4"/>
      <c r="F120" s="126"/>
      <c r="G120" s="206"/>
      <c r="H120" s="4"/>
      <c r="I120" s="119" t="str">
        <f t="shared" si="2"/>
        <v>No</v>
      </c>
      <c r="J120" s="137"/>
      <c r="K120" s="123"/>
      <c r="L120" s="4"/>
      <c r="M120" s="4"/>
      <c r="N120" s="211"/>
      <c r="O120" s="137"/>
      <c r="P120" s="4"/>
      <c r="Q120" s="137"/>
      <c r="R120" s="4"/>
      <c r="S120" s="4"/>
      <c r="T120" s="5"/>
      <c r="U120" s="154"/>
      <c r="V120" s="155"/>
      <c r="W120" s="123"/>
      <c r="X120" s="5"/>
      <c r="Y120" s="248"/>
    </row>
    <row r="121" spans="1:25" x14ac:dyDescent="0.3">
      <c r="A121" s="115"/>
      <c r="B121" s="137"/>
      <c r="C121" s="4"/>
      <c r="D121" s="4"/>
      <c r="E121" s="4"/>
      <c r="F121" s="126"/>
      <c r="G121" s="206"/>
      <c r="H121" s="4"/>
      <c r="I121" s="119" t="str">
        <f t="shared" si="2"/>
        <v>No</v>
      </c>
      <c r="J121" s="137"/>
      <c r="K121" s="123"/>
      <c r="L121" s="4"/>
      <c r="M121" s="4"/>
      <c r="N121" s="211"/>
      <c r="O121" s="137"/>
      <c r="P121" s="4"/>
      <c r="Q121" s="137"/>
      <c r="R121" s="4"/>
      <c r="S121" s="4"/>
      <c r="T121" s="5"/>
      <c r="U121" s="154"/>
      <c r="V121" s="155"/>
      <c r="W121" s="123"/>
      <c r="X121" s="5"/>
      <c r="Y121" s="248"/>
    </row>
    <row r="122" spans="1:25" x14ac:dyDescent="0.3">
      <c r="A122" s="115"/>
      <c r="B122" s="137"/>
      <c r="C122" s="4"/>
      <c r="D122" s="4"/>
      <c r="E122" s="4"/>
      <c r="F122" s="126"/>
      <c r="G122" s="206"/>
      <c r="H122" s="4"/>
      <c r="I122" s="119" t="str">
        <f t="shared" si="2"/>
        <v>No</v>
      </c>
      <c r="J122" s="137"/>
      <c r="K122" s="123"/>
      <c r="L122" s="4"/>
      <c r="M122" s="4"/>
      <c r="N122" s="211"/>
      <c r="O122" s="137"/>
      <c r="P122" s="4"/>
      <c r="Q122" s="137"/>
      <c r="R122" s="4"/>
      <c r="S122" s="4"/>
      <c r="T122" s="5"/>
      <c r="U122" s="154"/>
      <c r="V122" s="155"/>
      <c r="W122" s="123"/>
      <c r="X122" s="5"/>
      <c r="Y122" s="248"/>
    </row>
    <row r="123" spans="1:25" x14ac:dyDescent="0.3">
      <c r="A123" s="115"/>
      <c r="B123" s="137"/>
      <c r="C123" s="4"/>
      <c r="D123" s="4"/>
      <c r="E123" s="4"/>
      <c r="F123" s="126"/>
      <c r="G123" s="206"/>
      <c r="H123" s="4"/>
      <c r="I123" s="119" t="str">
        <f t="shared" si="2"/>
        <v>No</v>
      </c>
      <c r="J123" s="137"/>
      <c r="K123" s="123"/>
      <c r="L123" s="4"/>
      <c r="M123" s="4"/>
      <c r="N123" s="211"/>
      <c r="O123" s="137"/>
      <c r="P123" s="4"/>
      <c r="Q123" s="137"/>
      <c r="R123" s="4"/>
      <c r="S123" s="4"/>
      <c r="T123" s="5"/>
      <c r="U123" s="154"/>
      <c r="V123" s="155"/>
      <c r="W123" s="123"/>
      <c r="X123" s="5"/>
      <c r="Y123" s="248"/>
    </row>
    <row r="124" spans="1:25" x14ac:dyDescent="0.3">
      <c r="A124" s="115"/>
      <c r="B124" s="137"/>
      <c r="C124" s="4"/>
      <c r="D124" s="4"/>
      <c r="E124" s="4"/>
      <c r="F124" s="126"/>
      <c r="G124" s="206"/>
      <c r="H124" s="4"/>
      <c r="I124" s="119" t="str">
        <f t="shared" si="2"/>
        <v>No</v>
      </c>
      <c r="J124" s="137"/>
      <c r="K124" s="123"/>
      <c r="L124" s="4"/>
      <c r="M124" s="4"/>
      <c r="N124" s="211"/>
      <c r="O124" s="137"/>
      <c r="P124" s="4"/>
      <c r="Q124" s="137"/>
      <c r="R124" s="4"/>
      <c r="S124" s="4"/>
      <c r="T124" s="5"/>
      <c r="U124" s="154"/>
      <c r="V124" s="155"/>
      <c r="W124" s="123"/>
      <c r="X124" s="5"/>
      <c r="Y124" s="248"/>
    </row>
    <row r="125" spans="1:25" x14ac:dyDescent="0.3">
      <c r="A125" s="115"/>
      <c r="B125" s="137"/>
      <c r="C125" s="4"/>
      <c r="D125" s="4"/>
      <c r="E125" s="4"/>
      <c r="F125" s="126"/>
      <c r="G125" s="206"/>
      <c r="H125" s="4"/>
      <c r="I125" s="119" t="str">
        <f t="shared" si="2"/>
        <v>No</v>
      </c>
      <c r="J125" s="137"/>
      <c r="K125" s="123"/>
      <c r="L125" s="4"/>
      <c r="M125" s="4"/>
      <c r="N125" s="211"/>
      <c r="O125" s="137"/>
      <c r="P125" s="4"/>
      <c r="Q125" s="137"/>
      <c r="R125" s="4"/>
      <c r="S125" s="4"/>
      <c r="T125" s="5"/>
      <c r="U125" s="154"/>
      <c r="V125" s="155"/>
      <c r="W125" s="123"/>
      <c r="X125" s="121"/>
      <c r="Y125" s="248"/>
    </row>
    <row r="126" spans="1:25" x14ac:dyDescent="0.3">
      <c r="A126" s="115"/>
      <c r="B126" s="137"/>
      <c r="C126" s="4"/>
      <c r="D126" s="4"/>
      <c r="E126" s="4"/>
      <c r="F126" s="126"/>
      <c r="G126" s="206"/>
      <c r="H126" s="4"/>
      <c r="I126" s="119" t="str">
        <f t="shared" si="2"/>
        <v>No</v>
      </c>
      <c r="J126" s="137"/>
      <c r="K126" s="123"/>
      <c r="L126" s="4"/>
      <c r="M126" s="4"/>
      <c r="N126" s="211"/>
      <c r="O126" s="137"/>
      <c r="P126" s="4"/>
      <c r="Q126" s="137"/>
      <c r="R126" s="4"/>
      <c r="S126" s="4"/>
      <c r="T126" s="5"/>
      <c r="U126" s="154"/>
      <c r="V126" s="155"/>
      <c r="W126" s="123"/>
      <c r="X126" s="121"/>
      <c r="Y126" s="248"/>
    </row>
    <row r="127" spans="1:25" x14ac:dyDescent="0.3">
      <c r="A127" s="115"/>
      <c r="B127" s="137"/>
      <c r="C127" s="4"/>
      <c r="D127" s="4"/>
      <c r="E127" s="4"/>
      <c r="F127" s="126"/>
      <c r="G127" s="206"/>
      <c r="H127" s="4"/>
      <c r="I127" s="119" t="str">
        <f t="shared" si="2"/>
        <v>No</v>
      </c>
      <c r="J127" s="137"/>
      <c r="K127" s="123"/>
      <c r="L127" s="4"/>
      <c r="M127" s="4"/>
      <c r="N127" s="211"/>
      <c r="O127" s="137"/>
      <c r="P127" s="4"/>
      <c r="Q127" s="137"/>
      <c r="R127" s="4"/>
      <c r="S127" s="4"/>
      <c r="T127" s="5"/>
      <c r="U127" s="154"/>
      <c r="V127" s="155"/>
      <c r="W127" s="123"/>
      <c r="X127" s="121"/>
      <c r="Y127" s="248"/>
    </row>
    <row r="128" spans="1:25" x14ac:dyDescent="0.3">
      <c r="A128" s="115"/>
      <c r="B128" s="137"/>
      <c r="C128" s="4"/>
      <c r="D128" s="4"/>
      <c r="E128" s="4"/>
      <c r="F128" s="126"/>
      <c r="G128" s="206"/>
      <c r="H128" s="4"/>
      <c r="I128" s="119" t="str">
        <f t="shared" si="2"/>
        <v>No</v>
      </c>
      <c r="J128" s="137"/>
      <c r="K128" s="123"/>
      <c r="L128" s="4"/>
      <c r="M128" s="4"/>
      <c r="N128" s="211"/>
      <c r="O128" s="137"/>
      <c r="P128" s="4"/>
      <c r="Q128" s="137"/>
      <c r="R128" s="4"/>
      <c r="S128" s="4"/>
      <c r="T128" s="5"/>
      <c r="U128" s="154"/>
      <c r="V128" s="155"/>
      <c r="W128" s="123"/>
      <c r="X128" s="121"/>
      <c r="Y128" s="248"/>
    </row>
    <row r="129" spans="1:25" x14ac:dyDescent="0.3">
      <c r="A129" s="115"/>
      <c r="B129" s="137"/>
      <c r="C129" s="4"/>
      <c r="D129" s="4"/>
      <c r="E129" s="4"/>
      <c r="F129" s="126"/>
      <c r="G129" s="206"/>
      <c r="H129" s="4"/>
      <c r="I129" s="119" t="str">
        <f t="shared" si="2"/>
        <v>No</v>
      </c>
      <c r="J129" s="137"/>
      <c r="K129" s="123"/>
      <c r="L129" s="4"/>
      <c r="M129" s="4"/>
      <c r="N129" s="211"/>
      <c r="O129" s="137"/>
      <c r="P129" s="4"/>
      <c r="Q129" s="137"/>
      <c r="R129" s="4"/>
      <c r="S129" s="4"/>
      <c r="T129" s="5"/>
      <c r="U129" s="154"/>
      <c r="V129" s="155"/>
      <c r="W129" s="123"/>
      <c r="X129" s="121"/>
      <c r="Y129" s="248"/>
    </row>
    <row r="130" spans="1:25" x14ac:dyDescent="0.3">
      <c r="A130" s="115"/>
      <c r="B130" s="137"/>
      <c r="C130" s="4"/>
      <c r="D130" s="4"/>
      <c r="E130" s="4"/>
      <c r="F130" s="126"/>
      <c r="G130" s="206"/>
      <c r="H130" s="4"/>
      <c r="I130" s="119" t="str">
        <f t="shared" si="2"/>
        <v>No</v>
      </c>
      <c r="J130" s="137"/>
      <c r="K130" s="123"/>
      <c r="L130" s="4"/>
      <c r="M130" s="4"/>
      <c r="N130" s="211"/>
      <c r="O130" s="137"/>
      <c r="P130" s="4"/>
      <c r="Q130" s="137"/>
      <c r="R130" s="4"/>
      <c r="S130" s="4"/>
      <c r="T130" s="5"/>
      <c r="U130" s="154"/>
      <c r="V130" s="155"/>
      <c r="W130" s="123"/>
      <c r="X130" s="121"/>
      <c r="Y130" s="248"/>
    </row>
    <row r="131" spans="1:25" x14ac:dyDescent="0.3">
      <c r="A131" s="115"/>
      <c r="B131" s="137"/>
      <c r="C131" s="4"/>
      <c r="D131" s="4"/>
      <c r="E131" s="4"/>
      <c r="F131" s="126"/>
      <c r="G131" s="206"/>
      <c r="H131" s="4"/>
      <c r="I131" s="119" t="str">
        <f t="shared" si="2"/>
        <v>No</v>
      </c>
      <c r="J131" s="137"/>
      <c r="K131" s="123"/>
      <c r="L131" s="4"/>
      <c r="M131" s="4"/>
      <c r="N131" s="211"/>
      <c r="O131" s="137"/>
      <c r="P131" s="4"/>
      <c r="Q131" s="137"/>
      <c r="R131" s="4"/>
      <c r="S131" s="4"/>
      <c r="T131" s="5"/>
      <c r="U131" s="154"/>
      <c r="V131" s="155"/>
      <c r="W131" s="123"/>
      <c r="X131" s="121"/>
      <c r="Y131" s="248"/>
    </row>
    <row r="132" spans="1:25" x14ac:dyDescent="0.3">
      <c r="A132" s="115"/>
      <c r="B132" s="137"/>
      <c r="C132" s="4"/>
      <c r="D132" s="4"/>
      <c r="E132" s="4"/>
      <c r="F132" s="126"/>
      <c r="G132" s="206"/>
      <c r="H132" s="4"/>
      <c r="I132" s="119" t="str">
        <f t="shared" si="2"/>
        <v>No</v>
      </c>
      <c r="J132" s="137"/>
      <c r="K132" s="123"/>
      <c r="L132" s="4"/>
      <c r="M132" s="4"/>
      <c r="N132" s="211"/>
      <c r="O132" s="137"/>
      <c r="P132" s="4"/>
      <c r="Q132" s="137"/>
      <c r="R132" s="4"/>
      <c r="S132" s="4"/>
      <c r="T132" s="5"/>
      <c r="U132" s="154"/>
      <c r="V132" s="155"/>
      <c r="W132" s="123"/>
      <c r="X132" s="121"/>
      <c r="Y132" s="248"/>
    </row>
    <row r="133" spans="1:25" x14ac:dyDescent="0.3">
      <c r="A133" s="115"/>
      <c r="B133" s="137"/>
      <c r="C133" s="4"/>
      <c r="D133" s="4"/>
      <c r="E133" s="4"/>
      <c r="F133" s="126"/>
      <c r="G133" s="206"/>
      <c r="H133" s="4"/>
      <c r="I133" s="119" t="str">
        <f t="shared" si="2"/>
        <v>No</v>
      </c>
      <c r="J133" s="137"/>
      <c r="K133" s="123"/>
      <c r="L133" s="4"/>
      <c r="M133" s="4"/>
      <c r="N133" s="211"/>
      <c r="O133" s="137"/>
      <c r="P133" s="4"/>
      <c r="Q133" s="137"/>
      <c r="R133" s="4"/>
      <c r="S133" s="4"/>
      <c r="T133" s="5"/>
      <c r="U133" s="154"/>
      <c r="V133" s="155"/>
      <c r="W133" s="123"/>
      <c r="X133" s="121"/>
      <c r="Y133" s="248"/>
    </row>
    <row r="134" spans="1:25" x14ac:dyDescent="0.3">
      <c r="A134" s="115"/>
      <c r="B134" s="137"/>
      <c r="C134" s="4"/>
      <c r="D134" s="4"/>
      <c r="E134" s="4"/>
      <c r="F134" s="126"/>
      <c r="G134" s="206"/>
      <c r="H134" s="4"/>
      <c r="I134" s="119" t="str">
        <f t="shared" si="2"/>
        <v>No</v>
      </c>
      <c r="J134" s="137"/>
      <c r="K134" s="123"/>
      <c r="L134" s="4"/>
      <c r="M134" s="4"/>
      <c r="N134" s="211"/>
      <c r="O134" s="137"/>
      <c r="P134" s="4"/>
      <c r="Q134" s="137"/>
      <c r="R134" s="4"/>
      <c r="S134" s="4"/>
      <c r="T134" s="5"/>
      <c r="U134" s="154"/>
      <c r="V134" s="155"/>
      <c r="W134" s="123"/>
      <c r="X134" s="121"/>
      <c r="Y134" s="248"/>
    </row>
    <row r="135" spans="1:25" x14ac:dyDescent="0.3">
      <c r="A135" s="115"/>
      <c r="B135" s="137"/>
      <c r="C135" s="4"/>
      <c r="D135" s="4"/>
      <c r="E135" s="4"/>
      <c r="F135" s="126"/>
      <c r="G135" s="206"/>
      <c r="H135" s="4"/>
      <c r="I135" s="119" t="str">
        <f t="shared" si="2"/>
        <v>No</v>
      </c>
      <c r="J135" s="137"/>
      <c r="K135" s="123"/>
      <c r="L135" s="4"/>
      <c r="M135" s="4"/>
      <c r="N135" s="211"/>
      <c r="O135" s="137"/>
      <c r="P135" s="4"/>
      <c r="Q135" s="137"/>
      <c r="R135" s="4"/>
      <c r="S135" s="4"/>
      <c r="T135" s="5"/>
      <c r="U135" s="154"/>
      <c r="V135" s="155"/>
      <c r="W135" s="123"/>
      <c r="X135" s="121"/>
      <c r="Y135" s="248"/>
    </row>
    <row r="136" spans="1:25" x14ac:dyDescent="0.3">
      <c r="A136" s="115"/>
      <c r="B136" s="137"/>
      <c r="C136" s="4"/>
      <c r="D136" s="4"/>
      <c r="E136" s="4"/>
      <c r="F136" s="126"/>
      <c r="G136" s="206"/>
      <c r="H136" s="4"/>
      <c r="I136" s="119" t="str">
        <f t="shared" si="2"/>
        <v>No</v>
      </c>
      <c r="J136" s="137"/>
      <c r="K136" s="123"/>
      <c r="L136" s="4"/>
      <c r="M136" s="4"/>
      <c r="N136" s="211"/>
      <c r="O136" s="137"/>
      <c r="P136" s="4"/>
      <c r="Q136" s="137"/>
      <c r="R136" s="4"/>
      <c r="S136" s="4"/>
      <c r="T136" s="5"/>
      <c r="U136" s="154"/>
      <c r="V136" s="155"/>
      <c r="W136" s="123"/>
      <c r="X136" s="121"/>
      <c r="Y136" s="248"/>
    </row>
    <row r="137" spans="1:25" x14ac:dyDescent="0.3">
      <c r="A137" s="115"/>
      <c r="B137" s="137"/>
      <c r="C137" s="4"/>
      <c r="D137" s="4"/>
      <c r="E137" s="4"/>
      <c r="F137" s="126"/>
      <c r="G137" s="206"/>
      <c r="H137" s="4"/>
      <c r="I137" s="119" t="str">
        <f t="shared" si="2"/>
        <v>No</v>
      </c>
      <c r="J137" s="137"/>
      <c r="K137" s="123"/>
      <c r="L137" s="4"/>
      <c r="M137" s="4"/>
      <c r="N137" s="211"/>
      <c r="O137" s="137"/>
      <c r="P137" s="4"/>
      <c r="Q137" s="137"/>
      <c r="R137" s="4"/>
      <c r="S137" s="4"/>
      <c r="T137" s="5"/>
      <c r="U137" s="154"/>
      <c r="V137" s="155"/>
      <c r="W137" s="123"/>
      <c r="X137" s="121"/>
      <c r="Y137" s="248"/>
    </row>
    <row r="138" spans="1:25" x14ac:dyDescent="0.3">
      <c r="A138" s="115"/>
      <c r="B138" s="137"/>
      <c r="C138" s="4"/>
      <c r="D138" s="4"/>
      <c r="E138" s="4"/>
      <c r="F138" s="126"/>
      <c r="G138" s="206"/>
      <c r="H138" s="4"/>
      <c r="I138" s="119" t="str">
        <f t="shared" si="2"/>
        <v>No</v>
      </c>
      <c r="J138" s="137"/>
      <c r="K138" s="123"/>
      <c r="L138" s="4"/>
      <c r="M138" s="4"/>
      <c r="N138" s="211"/>
      <c r="O138" s="137"/>
      <c r="P138" s="4"/>
      <c r="Q138" s="137"/>
      <c r="R138" s="4"/>
      <c r="S138" s="4"/>
      <c r="T138" s="5"/>
      <c r="U138" s="154"/>
      <c r="V138" s="155"/>
      <c r="W138" s="123"/>
      <c r="X138" s="121"/>
      <c r="Y138" s="248"/>
    </row>
    <row r="139" spans="1:25" x14ac:dyDescent="0.3">
      <c r="A139" s="115"/>
      <c r="B139" s="137"/>
      <c r="C139" s="4"/>
      <c r="D139" s="4"/>
      <c r="E139" s="4"/>
      <c r="F139" s="126"/>
      <c r="G139" s="206"/>
      <c r="H139" s="4"/>
      <c r="I139" s="119" t="str">
        <f t="shared" si="2"/>
        <v>No</v>
      </c>
      <c r="J139" s="137"/>
      <c r="K139" s="123"/>
      <c r="L139" s="4"/>
      <c r="M139" s="4"/>
      <c r="N139" s="211"/>
      <c r="O139" s="137"/>
      <c r="P139" s="4"/>
      <c r="Q139" s="137"/>
      <c r="R139" s="4"/>
      <c r="S139" s="4"/>
      <c r="T139" s="5"/>
      <c r="U139" s="154"/>
      <c r="V139" s="155"/>
      <c r="W139" s="123"/>
      <c r="X139" s="121"/>
      <c r="Y139" s="248"/>
    </row>
    <row r="140" spans="1:25" x14ac:dyDescent="0.3">
      <c r="A140" s="115"/>
      <c r="B140" s="137"/>
      <c r="C140" s="4"/>
      <c r="D140" s="4"/>
      <c r="E140" s="4"/>
      <c r="F140" s="126"/>
      <c r="G140" s="206"/>
      <c r="H140" s="4"/>
      <c r="I140" s="119" t="str">
        <f t="shared" si="2"/>
        <v>No</v>
      </c>
      <c r="J140" s="137"/>
      <c r="K140" s="123"/>
      <c r="L140" s="4"/>
      <c r="M140" s="4"/>
      <c r="N140" s="211"/>
      <c r="O140" s="137"/>
      <c r="P140" s="4"/>
      <c r="Q140" s="137"/>
      <c r="R140" s="4"/>
      <c r="S140" s="4"/>
      <c r="T140" s="5"/>
      <c r="U140" s="154"/>
      <c r="V140" s="155"/>
      <c r="W140" s="123"/>
      <c r="X140" s="121"/>
      <c r="Y140" s="248"/>
    </row>
    <row r="141" spans="1:25" x14ac:dyDescent="0.3">
      <c r="A141" s="115"/>
      <c r="B141" s="137"/>
      <c r="C141" s="4"/>
      <c r="D141" s="4"/>
      <c r="E141" s="4"/>
      <c r="F141" s="126"/>
      <c r="G141" s="206"/>
      <c r="H141" s="4"/>
      <c r="I141" s="119" t="str">
        <f t="shared" si="2"/>
        <v>No</v>
      </c>
      <c r="J141" s="137"/>
      <c r="K141" s="123"/>
      <c r="L141" s="4"/>
      <c r="M141" s="4"/>
      <c r="N141" s="211"/>
      <c r="O141" s="137"/>
      <c r="P141" s="4"/>
      <c r="Q141" s="137"/>
      <c r="R141" s="4"/>
      <c r="S141" s="4"/>
      <c r="T141" s="5"/>
      <c r="U141" s="154"/>
      <c r="V141" s="155"/>
      <c r="W141" s="123"/>
      <c r="X141" s="121"/>
      <c r="Y141" s="248"/>
    </row>
    <row r="142" spans="1:25" x14ac:dyDescent="0.3">
      <c r="A142" s="115"/>
      <c r="B142" s="137"/>
      <c r="C142" s="4"/>
      <c r="D142" s="4"/>
      <c r="E142" s="4"/>
      <c r="F142" s="126"/>
      <c r="G142" s="206"/>
      <c r="H142" s="4"/>
      <c r="I142" s="119" t="str">
        <f t="shared" si="2"/>
        <v>No</v>
      </c>
      <c r="J142" s="137"/>
      <c r="K142" s="123"/>
      <c r="L142" s="4"/>
      <c r="M142" s="4"/>
      <c r="N142" s="211"/>
      <c r="O142" s="137"/>
      <c r="P142" s="4"/>
      <c r="Q142" s="137"/>
      <c r="R142" s="4"/>
      <c r="S142" s="4"/>
      <c r="T142" s="5"/>
      <c r="U142" s="154"/>
      <c r="V142" s="155"/>
      <c r="W142" s="123"/>
      <c r="X142" s="121"/>
      <c r="Y142" s="248"/>
    </row>
    <row r="143" spans="1:25" x14ac:dyDescent="0.3">
      <c r="A143" s="115"/>
      <c r="B143" s="137"/>
      <c r="C143" s="4"/>
      <c r="D143" s="4"/>
      <c r="E143" s="4"/>
      <c r="F143" s="126"/>
      <c r="G143" s="206"/>
      <c r="H143" s="4"/>
      <c r="I143" s="119" t="str">
        <f t="shared" si="2"/>
        <v>No</v>
      </c>
      <c r="J143" s="137"/>
      <c r="K143" s="123"/>
      <c r="L143" s="4"/>
      <c r="M143" s="4"/>
      <c r="N143" s="211"/>
      <c r="O143" s="137"/>
      <c r="P143" s="4"/>
      <c r="Q143" s="137"/>
      <c r="R143" s="4"/>
      <c r="S143" s="4"/>
      <c r="T143" s="5"/>
      <c r="U143" s="154"/>
      <c r="V143" s="155"/>
      <c r="W143" s="123"/>
      <c r="X143" s="121"/>
      <c r="Y143" s="248"/>
    </row>
    <row r="144" spans="1:25" x14ac:dyDescent="0.3">
      <c r="A144" s="115"/>
      <c r="B144" s="137"/>
      <c r="C144" s="4"/>
      <c r="D144" s="4"/>
      <c r="E144" s="4"/>
      <c r="F144" s="126"/>
      <c r="G144" s="206"/>
      <c r="H144" s="4"/>
      <c r="I144" s="119" t="str">
        <f t="shared" si="2"/>
        <v>No</v>
      </c>
      <c r="J144" s="137"/>
      <c r="K144" s="123"/>
      <c r="L144" s="4"/>
      <c r="M144" s="4"/>
      <c r="N144" s="211"/>
      <c r="O144" s="137"/>
      <c r="P144" s="4"/>
      <c r="Q144" s="137"/>
      <c r="R144" s="4"/>
      <c r="S144" s="4"/>
      <c r="T144" s="5"/>
      <c r="U144" s="154"/>
      <c r="V144" s="155"/>
      <c r="W144" s="123"/>
      <c r="X144" s="121"/>
      <c r="Y144" s="248"/>
    </row>
    <row r="145" spans="1:25" x14ac:dyDescent="0.3">
      <c r="A145" s="115"/>
      <c r="B145" s="137"/>
      <c r="C145" s="4"/>
      <c r="D145" s="4"/>
      <c r="E145" s="4"/>
      <c r="F145" s="126"/>
      <c r="G145" s="206"/>
      <c r="H145" s="4"/>
      <c r="I145" s="119" t="str">
        <f t="shared" si="2"/>
        <v>No</v>
      </c>
      <c r="J145" s="137"/>
      <c r="K145" s="123"/>
      <c r="L145" s="4"/>
      <c r="M145" s="4"/>
      <c r="N145" s="211"/>
      <c r="O145" s="137"/>
      <c r="P145" s="4"/>
      <c r="Q145" s="137"/>
      <c r="R145" s="4"/>
      <c r="S145" s="4"/>
      <c r="T145" s="5"/>
      <c r="U145" s="154"/>
      <c r="V145" s="155"/>
      <c r="W145" s="123"/>
      <c r="X145" s="121"/>
      <c r="Y145" s="248"/>
    </row>
    <row r="146" spans="1:25" x14ac:dyDescent="0.3">
      <c r="A146" s="115"/>
      <c r="B146" s="137"/>
      <c r="C146" s="4"/>
      <c r="D146" s="4"/>
      <c r="E146" s="4"/>
      <c r="F146" s="126"/>
      <c r="G146" s="206"/>
      <c r="H146" s="4"/>
      <c r="I146" s="119" t="str">
        <f t="shared" si="2"/>
        <v>No</v>
      </c>
      <c r="J146" s="137"/>
      <c r="K146" s="123"/>
      <c r="L146" s="4"/>
      <c r="M146" s="4"/>
      <c r="N146" s="211"/>
      <c r="O146" s="137"/>
      <c r="P146" s="4"/>
      <c r="Q146" s="137"/>
      <c r="R146" s="4"/>
      <c r="S146" s="4"/>
      <c r="T146" s="5"/>
      <c r="U146" s="154"/>
      <c r="V146" s="155"/>
      <c r="W146" s="123"/>
      <c r="X146" s="121"/>
      <c r="Y146" s="248"/>
    </row>
    <row r="147" spans="1:25" x14ac:dyDescent="0.3">
      <c r="A147" s="115"/>
      <c r="B147" s="137"/>
      <c r="C147" s="4"/>
      <c r="D147" s="4"/>
      <c r="E147" s="4"/>
      <c r="F147" s="126"/>
      <c r="G147" s="206"/>
      <c r="H147" s="4"/>
      <c r="I147" s="119" t="str">
        <f t="shared" si="2"/>
        <v>No</v>
      </c>
      <c r="J147" s="137"/>
      <c r="K147" s="123"/>
      <c r="L147" s="4"/>
      <c r="M147" s="4"/>
      <c r="N147" s="211"/>
      <c r="O147" s="137"/>
      <c r="P147" s="4"/>
      <c r="Q147" s="137"/>
      <c r="R147" s="4"/>
      <c r="S147" s="4"/>
      <c r="T147" s="5"/>
      <c r="U147" s="154"/>
      <c r="V147" s="155"/>
      <c r="W147" s="123"/>
      <c r="X147" s="121"/>
      <c r="Y147" s="248"/>
    </row>
    <row r="148" spans="1:25" x14ac:dyDescent="0.3">
      <c r="A148" s="115"/>
      <c r="B148" s="137"/>
      <c r="C148" s="4"/>
      <c r="D148" s="4"/>
      <c r="E148" s="4"/>
      <c r="F148" s="126"/>
      <c r="G148" s="206"/>
      <c r="H148" s="4"/>
      <c r="I148" s="119" t="str">
        <f t="shared" si="2"/>
        <v>No</v>
      </c>
      <c r="J148" s="137"/>
      <c r="K148" s="123"/>
      <c r="L148" s="4"/>
      <c r="M148" s="4"/>
      <c r="N148" s="211"/>
      <c r="O148" s="137"/>
      <c r="P148" s="4"/>
      <c r="Q148" s="137"/>
      <c r="R148" s="4"/>
      <c r="S148" s="4"/>
      <c r="T148" s="5"/>
      <c r="U148" s="154"/>
      <c r="V148" s="155"/>
      <c r="W148" s="123"/>
      <c r="X148" s="121"/>
      <c r="Y148" s="248"/>
    </row>
    <row r="149" spans="1:25" x14ac:dyDescent="0.3">
      <c r="A149" s="115"/>
      <c r="B149" s="138"/>
      <c r="C149" s="9"/>
      <c r="D149" s="9"/>
      <c r="E149" s="9"/>
      <c r="F149" s="128"/>
      <c r="G149" s="206"/>
      <c r="H149" s="4"/>
      <c r="I149" s="119" t="str">
        <f t="shared" si="2"/>
        <v>No</v>
      </c>
      <c r="J149" s="138"/>
      <c r="K149" s="237"/>
      <c r="L149" s="4"/>
      <c r="M149" s="4"/>
      <c r="N149" s="117"/>
      <c r="O149" s="138"/>
      <c r="P149" s="9"/>
      <c r="Q149" s="137"/>
      <c r="R149" s="4"/>
      <c r="S149" s="4"/>
      <c r="T149" s="5"/>
      <c r="U149" s="154"/>
      <c r="V149" s="155"/>
      <c r="W149" s="123"/>
      <c r="X149" s="120"/>
      <c r="Y149" s="248"/>
    </row>
    <row r="150" spans="1:25" x14ac:dyDescent="0.3">
      <c r="A150" s="115"/>
      <c r="B150" s="137"/>
      <c r="C150" s="4"/>
      <c r="D150" s="4"/>
      <c r="E150" s="4"/>
      <c r="F150" s="126"/>
      <c r="G150" s="206"/>
      <c r="H150" s="4"/>
      <c r="I150" s="119" t="str">
        <f t="shared" si="2"/>
        <v>No</v>
      </c>
      <c r="J150" s="137"/>
      <c r="K150" s="123"/>
      <c r="L150" s="4"/>
      <c r="M150" s="4"/>
      <c r="N150" s="211"/>
      <c r="O150" s="137"/>
      <c r="P150" s="4"/>
      <c r="Q150" s="137"/>
      <c r="R150" s="4"/>
      <c r="S150" s="4"/>
      <c r="T150" s="5"/>
      <c r="U150" s="154"/>
      <c r="V150" s="155"/>
      <c r="W150" s="123"/>
      <c r="X150" s="121"/>
      <c r="Y150" s="248"/>
    </row>
    <row r="151" spans="1:25" x14ac:dyDescent="0.3">
      <c r="A151" s="115"/>
      <c r="B151" s="137"/>
      <c r="C151" s="4"/>
      <c r="D151" s="4"/>
      <c r="E151" s="4"/>
      <c r="F151" s="126"/>
      <c r="G151" s="206"/>
      <c r="H151" s="4"/>
      <c r="I151" s="119" t="str">
        <f t="shared" si="2"/>
        <v>No</v>
      </c>
      <c r="J151" s="137"/>
      <c r="K151" s="123"/>
      <c r="L151" s="4"/>
      <c r="M151" s="4"/>
      <c r="N151" s="211"/>
      <c r="O151" s="137"/>
      <c r="P151" s="4"/>
      <c r="Q151" s="137"/>
      <c r="R151" s="4"/>
      <c r="S151" s="4"/>
      <c r="T151" s="5"/>
      <c r="U151" s="154"/>
      <c r="V151" s="155"/>
      <c r="W151" s="123"/>
      <c r="X151" s="121"/>
      <c r="Y151" s="248"/>
    </row>
    <row r="152" spans="1:25" x14ac:dyDescent="0.3">
      <c r="A152" s="115"/>
      <c r="B152" s="137"/>
      <c r="C152" s="4"/>
      <c r="D152" s="4"/>
      <c r="E152" s="4"/>
      <c r="F152" s="126"/>
      <c r="G152" s="206"/>
      <c r="H152" s="4"/>
      <c r="I152" s="119" t="str">
        <f t="shared" ref="I152:I215" si="3">IF(H152&gt;=37.8,"Yes","No")</f>
        <v>No</v>
      </c>
      <c r="J152" s="137"/>
      <c r="K152" s="123"/>
      <c r="L152" s="4"/>
      <c r="M152" s="4"/>
      <c r="N152" s="211"/>
      <c r="O152" s="137"/>
      <c r="P152" s="4"/>
      <c r="Q152" s="137"/>
      <c r="R152" s="4"/>
      <c r="S152" s="4"/>
      <c r="T152" s="5"/>
      <c r="U152" s="154"/>
      <c r="V152" s="155"/>
      <c r="W152" s="123"/>
      <c r="X152" s="121"/>
      <c r="Y152" s="248"/>
    </row>
    <row r="153" spans="1:25" x14ac:dyDescent="0.3">
      <c r="A153" s="115"/>
      <c r="B153" s="137"/>
      <c r="C153" s="4"/>
      <c r="D153" s="4"/>
      <c r="E153" s="4"/>
      <c r="F153" s="126"/>
      <c r="G153" s="206"/>
      <c r="H153" s="4"/>
      <c r="I153" s="119" t="str">
        <f t="shared" si="3"/>
        <v>No</v>
      </c>
      <c r="J153" s="137"/>
      <c r="K153" s="123"/>
      <c r="L153" s="4"/>
      <c r="M153" s="4"/>
      <c r="N153" s="211"/>
      <c r="O153" s="137"/>
      <c r="P153" s="4"/>
      <c r="Q153" s="137"/>
      <c r="R153" s="4"/>
      <c r="S153" s="4"/>
      <c r="T153" s="5"/>
      <c r="U153" s="154"/>
      <c r="V153" s="155"/>
      <c r="W153" s="123"/>
      <c r="X153" s="121"/>
      <c r="Y153" s="248"/>
    </row>
    <row r="154" spans="1:25" x14ac:dyDescent="0.3">
      <c r="A154" s="115"/>
      <c r="B154" s="137"/>
      <c r="C154" s="4"/>
      <c r="D154" s="4"/>
      <c r="E154" s="4"/>
      <c r="F154" s="126"/>
      <c r="G154" s="206"/>
      <c r="H154" s="4"/>
      <c r="I154" s="119" t="str">
        <f t="shared" si="3"/>
        <v>No</v>
      </c>
      <c r="J154" s="137"/>
      <c r="K154" s="123"/>
      <c r="L154" s="4"/>
      <c r="M154" s="4"/>
      <c r="N154" s="211"/>
      <c r="O154" s="137"/>
      <c r="P154" s="4"/>
      <c r="Q154" s="137"/>
      <c r="R154" s="4"/>
      <c r="S154" s="4"/>
      <c r="T154" s="5"/>
      <c r="U154" s="154"/>
      <c r="V154" s="155"/>
      <c r="W154" s="123"/>
      <c r="X154" s="121"/>
      <c r="Y154" s="248"/>
    </row>
    <row r="155" spans="1:25" x14ac:dyDescent="0.3">
      <c r="A155" s="115"/>
      <c r="B155" s="137"/>
      <c r="C155" s="4"/>
      <c r="D155" s="4"/>
      <c r="E155" s="4"/>
      <c r="F155" s="126"/>
      <c r="G155" s="206"/>
      <c r="H155" s="4"/>
      <c r="I155" s="119" t="str">
        <f t="shared" si="3"/>
        <v>No</v>
      </c>
      <c r="J155" s="137"/>
      <c r="K155" s="123"/>
      <c r="L155" s="4"/>
      <c r="M155" s="4"/>
      <c r="N155" s="211"/>
      <c r="O155" s="137"/>
      <c r="P155" s="4"/>
      <c r="Q155" s="137"/>
      <c r="R155" s="4"/>
      <c r="S155" s="4"/>
      <c r="T155" s="5"/>
      <c r="U155" s="154"/>
      <c r="V155" s="155"/>
      <c r="W155" s="123"/>
      <c r="X155" s="121"/>
      <c r="Y155" s="248"/>
    </row>
    <row r="156" spans="1:25" x14ac:dyDescent="0.3">
      <c r="A156" s="115"/>
      <c r="B156" s="137"/>
      <c r="C156" s="4"/>
      <c r="D156" s="4"/>
      <c r="E156" s="4"/>
      <c r="F156" s="126"/>
      <c r="G156" s="206"/>
      <c r="H156" s="4"/>
      <c r="I156" s="119" t="str">
        <f t="shared" si="3"/>
        <v>No</v>
      </c>
      <c r="J156" s="137"/>
      <c r="K156" s="123"/>
      <c r="L156" s="4"/>
      <c r="M156" s="4"/>
      <c r="N156" s="211"/>
      <c r="O156" s="137"/>
      <c r="P156" s="4"/>
      <c r="Q156" s="137"/>
      <c r="R156" s="4"/>
      <c r="S156" s="4"/>
      <c r="T156" s="5"/>
      <c r="U156" s="154"/>
      <c r="V156" s="155"/>
      <c r="W156" s="123"/>
      <c r="X156" s="121"/>
      <c r="Y156" s="248"/>
    </row>
    <row r="157" spans="1:25" x14ac:dyDescent="0.3">
      <c r="A157" s="115"/>
      <c r="B157" s="137"/>
      <c r="C157" s="4"/>
      <c r="D157" s="4"/>
      <c r="E157" s="4"/>
      <c r="F157" s="126"/>
      <c r="G157" s="206"/>
      <c r="H157" s="4"/>
      <c r="I157" s="119" t="str">
        <f t="shared" si="3"/>
        <v>No</v>
      </c>
      <c r="J157" s="137"/>
      <c r="K157" s="123"/>
      <c r="L157" s="4"/>
      <c r="M157" s="4"/>
      <c r="N157" s="211"/>
      <c r="O157" s="137"/>
      <c r="P157" s="4"/>
      <c r="Q157" s="137"/>
      <c r="R157" s="4"/>
      <c r="S157" s="4"/>
      <c r="T157" s="5"/>
      <c r="U157" s="154"/>
      <c r="V157" s="155"/>
      <c r="W157" s="123"/>
      <c r="X157" s="121"/>
      <c r="Y157" s="248"/>
    </row>
    <row r="158" spans="1:25" x14ac:dyDescent="0.3">
      <c r="A158" s="115"/>
      <c r="B158" s="137"/>
      <c r="C158" s="4"/>
      <c r="D158" s="4"/>
      <c r="E158" s="4"/>
      <c r="F158" s="126"/>
      <c r="G158" s="206"/>
      <c r="H158" s="4"/>
      <c r="I158" s="119" t="str">
        <f t="shared" si="3"/>
        <v>No</v>
      </c>
      <c r="J158" s="137"/>
      <c r="K158" s="123"/>
      <c r="L158" s="4"/>
      <c r="M158" s="4"/>
      <c r="N158" s="211"/>
      <c r="O158" s="137"/>
      <c r="P158" s="4"/>
      <c r="Q158" s="137"/>
      <c r="R158" s="4"/>
      <c r="S158" s="4"/>
      <c r="T158" s="5"/>
      <c r="U158" s="154"/>
      <c r="V158" s="155"/>
      <c r="W158" s="123"/>
      <c r="X158" s="121"/>
      <c r="Y158" s="248"/>
    </row>
    <row r="159" spans="1:25" x14ac:dyDescent="0.3">
      <c r="A159" s="115"/>
      <c r="B159" s="137"/>
      <c r="C159" s="4"/>
      <c r="D159" s="4"/>
      <c r="E159" s="4"/>
      <c r="F159" s="126"/>
      <c r="G159" s="206"/>
      <c r="H159" s="4"/>
      <c r="I159" s="119" t="str">
        <f t="shared" si="3"/>
        <v>No</v>
      </c>
      <c r="J159" s="137"/>
      <c r="K159" s="123"/>
      <c r="L159" s="4"/>
      <c r="M159" s="4"/>
      <c r="N159" s="211"/>
      <c r="O159" s="137"/>
      <c r="P159" s="4"/>
      <c r="Q159" s="137"/>
      <c r="R159" s="4"/>
      <c r="S159" s="4"/>
      <c r="T159" s="5"/>
      <c r="U159" s="154"/>
      <c r="V159" s="155"/>
      <c r="W159" s="123"/>
      <c r="X159" s="121"/>
      <c r="Y159" s="248"/>
    </row>
    <row r="160" spans="1:25" x14ac:dyDescent="0.3">
      <c r="A160" s="115"/>
      <c r="B160" s="137"/>
      <c r="C160" s="4"/>
      <c r="D160" s="4"/>
      <c r="E160" s="4"/>
      <c r="F160" s="126"/>
      <c r="G160" s="206"/>
      <c r="H160" s="4"/>
      <c r="I160" s="119" t="str">
        <f t="shared" si="3"/>
        <v>No</v>
      </c>
      <c r="J160" s="137"/>
      <c r="K160" s="123"/>
      <c r="L160" s="4"/>
      <c r="M160" s="4"/>
      <c r="N160" s="211"/>
      <c r="O160" s="137"/>
      <c r="P160" s="4"/>
      <c r="Q160" s="137"/>
      <c r="R160" s="4"/>
      <c r="S160" s="4"/>
      <c r="T160" s="5"/>
      <c r="U160" s="154"/>
      <c r="V160" s="155"/>
      <c r="W160" s="123"/>
      <c r="X160" s="121"/>
      <c r="Y160" s="248"/>
    </row>
    <row r="161" spans="1:25" x14ac:dyDescent="0.3">
      <c r="A161" s="115"/>
      <c r="B161" s="137"/>
      <c r="C161" s="4"/>
      <c r="D161" s="4"/>
      <c r="E161" s="4"/>
      <c r="F161" s="126"/>
      <c r="G161" s="206"/>
      <c r="H161" s="4"/>
      <c r="I161" s="119" t="str">
        <f t="shared" si="3"/>
        <v>No</v>
      </c>
      <c r="J161" s="137"/>
      <c r="K161" s="123"/>
      <c r="L161" s="4"/>
      <c r="M161" s="4"/>
      <c r="N161" s="211"/>
      <c r="O161" s="137"/>
      <c r="P161" s="4"/>
      <c r="Q161" s="137"/>
      <c r="R161" s="4"/>
      <c r="S161" s="4"/>
      <c r="T161" s="5"/>
      <c r="U161" s="154"/>
      <c r="V161" s="155"/>
      <c r="W161" s="123"/>
      <c r="X161" s="121"/>
      <c r="Y161" s="248"/>
    </row>
    <row r="162" spans="1:25" x14ac:dyDescent="0.3">
      <c r="A162" s="115"/>
      <c r="B162" s="137"/>
      <c r="C162" s="4"/>
      <c r="D162" s="4"/>
      <c r="E162" s="4"/>
      <c r="F162" s="126"/>
      <c r="G162" s="206"/>
      <c r="H162" s="4"/>
      <c r="I162" s="119" t="str">
        <f t="shared" si="3"/>
        <v>No</v>
      </c>
      <c r="J162" s="137"/>
      <c r="K162" s="123"/>
      <c r="L162" s="4"/>
      <c r="M162" s="4"/>
      <c r="N162" s="211"/>
      <c r="O162" s="137"/>
      <c r="P162" s="4"/>
      <c r="Q162" s="137"/>
      <c r="R162" s="4"/>
      <c r="S162" s="4"/>
      <c r="T162" s="5"/>
      <c r="U162" s="154"/>
      <c r="V162" s="155"/>
      <c r="W162" s="123"/>
      <c r="X162" s="121"/>
      <c r="Y162" s="248"/>
    </row>
    <row r="163" spans="1:25" x14ac:dyDescent="0.3">
      <c r="A163" s="115"/>
      <c r="B163" s="137"/>
      <c r="C163" s="4"/>
      <c r="D163" s="4"/>
      <c r="E163" s="4"/>
      <c r="F163" s="126"/>
      <c r="G163" s="206"/>
      <c r="H163" s="4"/>
      <c r="I163" s="119" t="str">
        <f t="shared" si="3"/>
        <v>No</v>
      </c>
      <c r="J163" s="137"/>
      <c r="K163" s="123"/>
      <c r="L163" s="4"/>
      <c r="M163" s="4"/>
      <c r="N163" s="211"/>
      <c r="O163" s="137"/>
      <c r="P163" s="4"/>
      <c r="Q163" s="137"/>
      <c r="R163" s="4"/>
      <c r="S163" s="4"/>
      <c r="T163" s="5"/>
      <c r="U163" s="154"/>
      <c r="V163" s="155"/>
      <c r="W163" s="123"/>
      <c r="X163" s="121"/>
      <c r="Y163" s="248"/>
    </row>
    <row r="164" spans="1:25" x14ac:dyDescent="0.3">
      <c r="A164" s="115"/>
      <c r="B164" s="137"/>
      <c r="C164" s="4"/>
      <c r="D164" s="4"/>
      <c r="E164" s="4"/>
      <c r="F164" s="126"/>
      <c r="G164" s="206"/>
      <c r="H164" s="4"/>
      <c r="I164" s="119" t="str">
        <f t="shared" si="3"/>
        <v>No</v>
      </c>
      <c r="J164" s="137"/>
      <c r="K164" s="123"/>
      <c r="L164" s="4"/>
      <c r="M164" s="4"/>
      <c r="N164" s="211"/>
      <c r="O164" s="137"/>
      <c r="P164" s="4"/>
      <c r="Q164" s="137"/>
      <c r="R164" s="4"/>
      <c r="S164" s="4"/>
      <c r="T164" s="5"/>
      <c r="U164" s="154"/>
      <c r="V164" s="155"/>
      <c r="W164" s="123"/>
      <c r="X164" s="121"/>
      <c r="Y164" s="248"/>
    </row>
    <row r="165" spans="1:25" x14ac:dyDescent="0.3">
      <c r="A165" s="115"/>
      <c r="B165" s="137"/>
      <c r="C165" s="4"/>
      <c r="D165" s="4"/>
      <c r="E165" s="4"/>
      <c r="F165" s="126"/>
      <c r="G165" s="206"/>
      <c r="H165" s="4"/>
      <c r="I165" s="119" t="str">
        <f t="shared" si="3"/>
        <v>No</v>
      </c>
      <c r="J165" s="137"/>
      <c r="K165" s="123"/>
      <c r="L165" s="4"/>
      <c r="M165" s="4"/>
      <c r="N165" s="211"/>
      <c r="O165" s="137"/>
      <c r="P165" s="4"/>
      <c r="Q165" s="137"/>
      <c r="R165" s="4"/>
      <c r="S165" s="4"/>
      <c r="T165" s="5"/>
      <c r="U165" s="154"/>
      <c r="V165" s="155"/>
      <c r="W165" s="123"/>
      <c r="X165" s="121"/>
      <c r="Y165" s="248"/>
    </row>
    <row r="166" spans="1:25" x14ac:dyDescent="0.3">
      <c r="A166" s="115"/>
      <c r="B166" s="137"/>
      <c r="C166" s="4"/>
      <c r="D166" s="4"/>
      <c r="E166" s="4"/>
      <c r="F166" s="126"/>
      <c r="G166" s="206"/>
      <c r="H166" s="4"/>
      <c r="I166" s="119" t="str">
        <f t="shared" si="3"/>
        <v>No</v>
      </c>
      <c r="J166" s="137"/>
      <c r="K166" s="123"/>
      <c r="L166" s="4"/>
      <c r="M166" s="4"/>
      <c r="N166" s="211"/>
      <c r="O166" s="137"/>
      <c r="P166" s="4"/>
      <c r="Q166" s="137"/>
      <c r="R166" s="4"/>
      <c r="S166" s="4"/>
      <c r="T166" s="5"/>
      <c r="U166" s="154"/>
      <c r="V166" s="155"/>
      <c r="W166" s="123"/>
      <c r="X166" s="121"/>
      <c r="Y166" s="248"/>
    </row>
    <row r="167" spans="1:25" x14ac:dyDescent="0.3">
      <c r="A167" s="115"/>
      <c r="B167" s="137"/>
      <c r="C167" s="4"/>
      <c r="D167" s="4"/>
      <c r="E167" s="4"/>
      <c r="F167" s="126"/>
      <c r="G167" s="206"/>
      <c r="H167" s="4"/>
      <c r="I167" s="119" t="str">
        <f t="shared" si="3"/>
        <v>No</v>
      </c>
      <c r="J167" s="137"/>
      <c r="K167" s="123"/>
      <c r="L167" s="4"/>
      <c r="M167" s="4"/>
      <c r="N167" s="211"/>
      <c r="O167" s="137"/>
      <c r="P167" s="4"/>
      <c r="Q167" s="137"/>
      <c r="R167" s="4"/>
      <c r="S167" s="4"/>
      <c r="T167" s="5"/>
      <c r="U167" s="154"/>
      <c r="V167" s="155"/>
      <c r="W167" s="123"/>
      <c r="X167" s="121"/>
      <c r="Y167" s="248"/>
    </row>
    <row r="168" spans="1:25" x14ac:dyDescent="0.3">
      <c r="A168" s="115"/>
      <c r="B168" s="137"/>
      <c r="C168" s="4"/>
      <c r="D168" s="4"/>
      <c r="E168" s="4"/>
      <c r="F168" s="126"/>
      <c r="G168" s="206"/>
      <c r="H168" s="4"/>
      <c r="I168" s="119" t="str">
        <f t="shared" si="3"/>
        <v>No</v>
      </c>
      <c r="J168" s="137"/>
      <c r="K168" s="123"/>
      <c r="L168" s="4"/>
      <c r="M168" s="4"/>
      <c r="N168" s="211"/>
      <c r="O168" s="137"/>
      <c r="P168" s="4"/>
      <c r="Q168" s="137"/>
      <c r="R168" s="4"/>
      <c r="S168" s="4"/>
      <c r="T168" s="5"/>
      <c r="U168" s="154"/>
      <c r="V168" s="155"/>
      <c r="W168" s="123"/>
      <c r="X168" s="121"/>
      <c r="Y168" s="248"/>
    </row>
    <row r="169" spans="1:25" x14ac:dyDescent="0.3">
      <c r="A169" s="115"/>
      <c r="B169" s="137"/>
      <c r="C169" s="4"/>
      <c r="D169" s="4"/>
      <c r="E169" s="4"/>
      <c r="F169" s="126"/>
      <c r="G169" s="206"/>
      <c r="H169" s="4"/>
      <c r="I169" s="119" t="str">
        <f t="shared" si="3"/>
        <v>No</v>
      </c>
      <c r="J169" s="137"/>
      <c r="K169" s="123"/>
      <c r="L169" s="4"/>
      <c r="M169" s="4"/>
      <c r="N169" s="211"/>
      <c r="O169" s="137"/>
      <c r="P169" s="4"/>
      <c r="Q169" s="137"/>
      <c r="R169" s="4"/>
      <c r="S169" s="4"/>
      <c r="T169" s="5"/>
      <c r="U169" s="154"/>
      <c r="V169" s="155"/>
      <c r="W169" s="123"/>
      <c r="X169" s="121"/>
      <c r="Y169" s="248"/>
    </row>
    <row r="170" spans="1:25" x14ac:dyDescent="0.3">
      <c r="A170" s="115"/>
      <c r="B170" s="137"/>
      <c r="C170" s="4"/>
      <c r="D170" s="4"/>
      <c r="E170" s="4"/>
      <c r="F170" s="126"/>
      <c r="G170" s="206"/>
      <c r="H170" s="4"/>
      <c r="I170" s="119" t="str">
        <f t="shared" si="3"/>
        <v>No</v>
      </c>
      <c r="J170" s="137"/>
      <c r="K170" s="123"/>
      <c r="L170" s="4"/>
      <c r="M170" s="4"/>
      <c r="N170" s="211"/>
      <c r="O170" s="137"/>
      <c r="P170" s="4"/>
      <c r="Q170" s="137"/>
      <c r="R170" s="4"/>
      <c r="S170" s="4"/>
      <c r="T170" s="5"/>
      <c r="U170" s="154"/>
      <c r="V170" s="155"/>
      <c r="W170" s="123"/>
      <c r="X170" s="121"/>
      <c r="Y170" s="248"/>
    </row>
    <row r="171" spans="1:25" x14ac:dyDescent="0.3">
      <c r="A171" s="115"/>
      <c r="B171" s="137"/>
      <c r="C171" s="4"/>
      <c r="D171" s="4"/>
      <c r="E171" s="4"/>
      <c r="F171" s="126"/>
      <c r="G171" s="206"/>
      <c r="H171" s="4"/>
      <c r="I171" s="119" t="str">
        <f t="shared" si="3"/>
        <v>No</v>
      </c>
      <c r="J171" s="137"/>
      <c r="K171" s="123"/>
      <c r="L171" s="4"/>
      <c r="M171" s="4"/>
      <c r="N171" s="211"/>
      <c r="O171" s="137"/>
      <c r="P171" s="4"/>
      <c r="Q171" s="137"/>
      <c r="R171" s="4"/>
      <c r="S171" s="4"/>
      <c r="T171" s="5"/>
      <c r="U171" s="154"/>
      <c r="V171" s="155"/>
      <c r="W171" s="123"/>
      <c r="X171" s="121"/>
      <c r="Y171" s="248"/>
    </row>
    <row r="172" spans="1:25" x14ac:dyDescent="0.3">
      <c r="A172" s="115"/>
      <c r="B172" s="137"/>
      <c r="C172" s="4"/>
      <c r="D172" s="4"/>
      <c r="E172" s="4"/>
      <c r="F172" s="126"/>
      <c r="G172" s="206"/>
      <c r="H172" s="4"/>
      <c r="I172" s="119" t="str">
        <f t="shared" si="3"/>
        <v>No</v>
      </c>
      <c r="J172" s="137"/>
      <c r="K172" s="123"/>
      <c r="L172" s="4"/>
      <c r="M172" s="4"/>
      <c r="N172" s="211"/>
      <c r="O172" s="137"/>
      <c r="P172" s="4"/>
      <c r="Q172" s="137"/>
      <c r="R172" s="4"/>
      <c r="S172" s="4"/>
      <c r="T172" s="5"/>
      <c r="U172" s="154"/>
      <c r="V172" s="155"/>
      <c r="W172" s="123"/>
      <c r="X172" s="121"/>
      <c r="Y172" s="248"/>
    </row>
    <row r="173" spans="1:25" x14ac:dyDescent="0.3">
      <c r="A173" s="115"/>
      <c r="B173" s="137"/>
      <c r="C173" s="4"/>
      <c r="D173" s="4"/>
      <c r="E173" s="4"/>
      <c r="F173" s="126"/>
      <c r="G173" s="206"/>
      <c r="H173" s="4"/>
      <c r="I173" s="119" t="str">
        <f t="shared" si="3"/>
        <v>No</v>
      </c>
      <c r="J173" s="137"/>
      <c r="K173" s="123"/>
      <c r="L173" s="4"/>
      <c r="M173" s="4"/>
      <c r="N173" s="211"/>
      <c r="O173" s="137"/>
      <c r="P173" s="4"/>
      <c r="Q173" s="137"/>
      <c r="R173" s="4"/>
      <c r="S173" s="4"/>
      <c r="T173" s="5"/>
      <c r="U173" s="154"/>
      <c r="V173" s="155"/>
      <c r="W173" s="123"/>
      <c r="X173" s="121"/>
      <c r="Y173" s="248"/>
    </row>
    <row r="174" spans="1:25" x14ac:dyDescent="0.3">
      <c r="A174" s="115"/>
      <c r="B174" s="137"/>
      <c r="C174" s="4"/>
      <c r="D174" s="4"/>
      <c r="E174" s="4"/>
      <c r="F174" s="126"/>
      <c r="G174" s="206"/>
      <c r="H174" s="4"/>
      <c r="I174" s="119" t="str">
        <f t="shared" si="3"/>
        <v>No</v>
      </c>
      <c r="J174" s="137"/>
      <c r="K174" s="123"/>
      <c r="L174" s="4"/>
      <c r="M174" s="4"/>
      <c r="N174" s="211"/>
      <c r="O174" s="137"/>
      <c r="P174" s="4"/>
      <c r="Q174" s="137"/>
      <c r="R174" s="4"/>
      <c r="S174" s="4"/>
      <c r="T174" s="5"/>
      <c r="U174" s="154"/>
      <c r="V174" s="155"/>
      <c r="W174" s="123"/>
      <c r="X174" s="121"/>
      <c r="Y174" s="248"/>
    </row>
    <row r="175" spans="1:25" x14ac:dyDescent="0.3">
      <c r="A175" s="115"/>
      <c r="B175" s="137"/>
      <c r="C175" s="4"/>
      <c r="D175" s="4"/>
      <c r="E175" s="4"/>
      <c r="F175" s="126"/>
      <c r="G175" s="206"/>
      <c r="H175" s="4"/>
      <c r="I175" s="119" t="str">
        <f t="shared" si="3"/>
        <v>No</v>
      </c>
      <c r="J175" s="137"/>
      <c r="K175" s="123"/>
      <c r="L175" s="4"/>
      <c r="M175" s="4"/>
      <c r="N175" s="211"/>
      <c r="O175" s="137"/>
      <c r="P175" s="4"/>
      <c r="Q175" s="137"/>
      <c r="R175" s="4"/>
      <c r="S175" s="4"/>
      <c r="T175" s="5"/>
      <c r="U175" s="154"/>
      <c r="V175" s="155"/>
      <c r="W175" s="123"/>
      <c r="X175" s="121"/>
      <c r="Y175" s="248"/>
    </row>
    <row r="176" spans="1:25" x14ac:dyDescent="0.3">
      <c r="A176" s="115"/>
      <c r="B176" s="137"/>
      <c r="C176" s="4"/>
      <c r="D176" s="4"/>
      <c r="E176" s="4"/>
      <c r="F176" s="126"/>
      <c r="G176" s="206"/>
      <c r="H176" s="4"/>
      <c r="I176" s="119" t="str">
        <f t="shared" si="3"/>
        <v>No</v>
      </c>
      <c r="J176" s="137"/>
      <c r="K176" s="123"/>
      <c r="L176" s="4"/>
      <c r="M176" s="4"/>
      <c r="N176" s="211"/>
      <c r="O176" s="137"/>
      <c r="P176" s="4"/>
      <c r="Q176" s="137"/>
      <c r="R176" s="4"/>
      <c r="S176" s="4"/>
      <c r="T176" s="5"/>
      <c r="U176" s="154"/>
      <c r="V176" s="155"/>
      <c r="W176" s="123"/>
      <c r="X176" s="121"/>
      <c r="Y176" s="248"/>
    </row>
    <row r="177" spans="1:25" x14ac:dyDescent="0.3">
      <c r="A177" s="115"/>
      <c r="B177" s="137"/>
      <c r="C177" s="4"/>
      <c r="D177" s="4"/>
      <c r="E177" s="4"/>
      <c r="F177" s="126"/>
      <c r="G177" s="206"/>
      <c r="H177" s="4"/>
      <c r="I177" s="119" t="str">
        <f t="shared" si="3"/>
        <v>No</v>
      </c>
      <c r="J177" s="137"/>
      <c r="K177" s="123"/>
      <c r="L177" s="4"/>
      <c r="M177" s="4"/>
      <c r="N177" s="211"/>
      <c r="O177" s="137"/>
      <c r="P177" s="4"/>
      <c r="Q177" s="137"/>
      <c r="R177" s="4"/>
      <c r="S177" s="4"/>
      <c r="T177" s="5"/>
      <c r="U177" s="154"/>
      <c r="V177" s="155"/>
      <c r="W177" s="123"/>
      <c r="X177" s="121"/>
      <c r="Y177" s="248"/>
    </row>
    <row r="178" spans="1:25" x14ac:dyDescent="0.3">
      <c r="A178" s="115"/>
      <c r="B178" s="137"/>
      <c r="C178" s="4"/>
      <c r="D178" s="4"/>
      <c r="E178" s="4"/>
      <c r="F178" s="126"/>
      <c r="G178" s="206"/>
      <c r="H178" s="4"/>
      <c r="I178" s="119" t="str">
        <f t="shared" si="3"/>
        <v>No</v>
      </c>
      <c r="J178" s="137"/>
      <c r="K178" s="123"/>
      <c r="L178" s="4"/>
      <c r="M178" s="4"/>
      <c r="N178" s="211"/>
      <c r="O178" s="137"/>
      <c r="P178" s="4"/>
      <c r="Q178" s="137"/>
      <c r="R178" s="4"/>
      <c r="S178" s="4"/>
      <c r="T178" s="5"/>
      <c r="U178" s="154"/>
      <c r="V178" s="155"/>
      <c r="W178" s="123"/>
      <c r="X178" s="121"/>
      <c r="Y178" s="248"/>
    </row>
    <row r="179" spans="1:25" x14ac:dyDescent="0.3">
      <c r="A179" s="115"/>
      <c r="B179" s="137"/>
      <c r="C179" s="4"/>
      <c r="D179" s="4"/>
      <c r="E179" s="4"/>
      <c r="F179" s="126"/>
      <c r="G179" s="206"/>
      <c r="H179" s="4"/>
      <c r="I179" s="119" t="str">
        <f t="shared" si="3"/>
        <v>No</v>
      </c>
      <c r="J179" s="137"/>
      <c r="K179" s="123"/>
      <c r="L179" s="4"/>
      <c r="M179" s="4"/>
      <c r="N179" s="211"/>
      <c r="O179" s="137"/>
      <c r="P179" s="4"/>
      <c r="Q179" s="137"/>
      <c r="R179" s="4"/>
      <c r="S179" s="4"/>
      <c r="T179" s="5"/>
      <c r="U179" s="154"/>
      <c r="V179" s="155"/>
      <c r="W179" s="123"/>
      <c r="X179" s="121"/>
      <c r="Y179" s="248"/>
    </row>
    <row r="180" spans="1:25" x14ac:dyDescent="0.3">
      <c r="A180" s="115"/>
      <c r="B180" s="138"/>
      <c r="C180" s="9"/>
      <c r="D180" s="9"/>
      <c r="E180" s="9"/>
      <c r="F180" s="128"/>
      <c r="G180" s="206"/>
      <c r="H180" s="4"/>
      <c r="I180" s="119" t="str">
        <f t="shared" si="3"/>
        <v>No</v>
      </c>
      <c r="J180" s="138"/>
      <c r="K180" s="237"/>
      <c r="L180" s="4"/>
      <c r="M180" s="4"/>
      <c r="N180" s="117"/>
      <c r="O180" s="138"/>
      <c r="P180" s="9"/>
      <c r="Q180" s="137"/>
      <c r="R180" s="4"/>
      <c r="S180" s="4"/>
      <c r="T180" s="5"/>
      <c r="U180" s="154"/>
      <c r="V180" s="155"/>
      <c r="W180" s="123"/>
      <c r="X180" s="120"/>
      <c r="Y180" s="248"/>
    </row>
    <row r="181" spans="1:25" x14ac:dyDescent="0.3">
      <c r="A181" s="115"/>
      <c r="B181" s="137"/>
      <c r="C181" s="4"/>
      <c r="D181" s="4"/>
      <c r="E181" s="4"/>
      <c r="F181" s="126"/>
      <c r="G181" s="206"/>
      <c r="H181" s="4"/>
      <c r="I181" s="119" t="str">
        <f t="shared" si="3"/>
        <v>No</v>
      </c>
      <c r="J181" s="137"/>
      <c r="K181" s="123"/>
      <c r="L181" s="4"/>
      <c r="M181" s="4"/>
      <c r="N181" s="211"/>
      <c r="O181" s="137"/>
      <c r="P181" s="4"/>
      <c r="Q181" s="137"/>
      <c r="R181" s="4"/>
      <c r="S181" s="4"/>
      <c r="T181" s="5"/>
      <c r="U181" s="154"/>
      <c r="V181" s="155"/>
      <c r="W181" s="123"/>
      <c r="X181" s="121"/>
      <c r="Y181" s="248"/>
    </row>
    <row r="182" spans="1:25" x14ac:dyDescent="0.3">
      <c r="A182" s="115"/>
      <c r="B182" s="137"/>
      <c r="C182" s="4"/>
      <c r="D182" s="4"/>
      <c r="E182" s="4"/>
      <c r="F182" s="126"/>
      <c r="G182" s="206"/>
      <c r="H182" s="4"/>
      <c r="I182" s="119" t="str">
        <f t="shared" si="3"/>
        <v>No</v>
      </c>
      <c r="J182" s="137"/>
      <c r="K182" s="123"/>
      <c r="L182" s="4"/>
      <c r="M182" s="4"/>
      <c r="N182" s="211"/>
      <c r="O182" s="137"/>
      <c r="P182" s="4"/>
      <c r="Q182" s="137"/>
      <c r="R182" s="4"/>
      <c r="S182" s="4"/>
      <c r="T182" s="5"/>
      <c r="U182" s="154"/>
      <c r="V182" s="155"/>
      <c r="W182" s="123"/>
      <c r="X182" s="121"/>
      <c r="Y182" s="248"/>
    </row>
    <row r="183" spans="1:25" x14ac:dyDescent="0.3">
      <c r="A183" s="115"/>
      <c r="B183" s="137"/>
      <c r="C183" s="4"/>
      <c r="D183" s="4"/>
      <c r="E183" s="4"/>
      <c r="F183" s="126"/>
      <c r="G183" s="206"/>
      <c r="H183" s="4"/>
      <c r="I183" s="119" t="str">
        <f t="shared" si="3"/>
        <v>No</v>
      </c>
      <c r="J183" s="137"/>
      <c r="K183" s="123"/>
      <c r="L183" s="4"/>
      <c r="M183" s="4"/>
      <c r="N183" s="211"/>
      <c r="O183" s="137"/>
      <c r="P183" s="4"/>
      <c r="Q183" s="137"/>
      <c r="R183" s="4"/>
      <c r="S183" s="4"/>
      <c r="T183" s="5"/>
      <c r="U183" s="154"/>
      <c r="V183" s="155"/>
      <c r="W183" s="123"/>
      <c r="X183" s="121"/>
      <c r="Y183" s="248"/>
    </row>
    <row r="184" spans="1:25" x14ac:dyDescent="0.3">
      <c r="A184" s="115"/>
      <c r="B184" s="137"/>
      <c r="C184" s="4"/>
      <c r="D184" s="4"/>
      <c r="E184" s="4"/>
      <c r="F184" s="126"/>
      <c r="G184" s="206"/>
      <c r="H184" s="4"/>
      <c r="I184" s="119" t="str">
        <f t="shared" si="3"/>
        <v>No</v>
      </c>
      <c r="J184" s="137"/>
      <c r="K184" s="123"/>
      <c r="L184" s="4"/>
      <c r="M184" s="4"/>
      <c r="N184" s="211"/>
      <c r="O184" s="137"/>
      <c r="P184" s="4"/>
      <c r="Q184" s="137"/>
      <c r="R184" s="4"/>
      <c r="S184" s="4"/>
      <c r="T184" s="5"/>
      <c r="U184" s="154"/>
      <c r="V184" s="155"/>
      <c r="W184" s="123"/>
      <c r="X184" s="121"/>
      <c r="Y184" s="248"/>
    </row>
    <row r="185" spans="1:25" x14ac:dyDescent="0.3">
      <c r="A185" s="115"/>
      <c r="B185" s="137"/>
      <c r="C185" s="4"/>
      <c r="D185" s="4"/>
      <c r="E185" s="4"/>
      <c r="F185" s="126"/>
      <c r="G185" s="206"/>
      <c r="H185" s="4"/>
      <c r="I185" s="119" t="str">
        <f t="shared" si="3"/>
        <v>No</v>
      </c>
      <c r="J185" s="137"/>
      <c r="K185" s="123"/>
      <c r="L185" s="4"/>
      <c r="M185" s="4"/>
      <c r="N185" s="211"/>
      <c r="O185" s="137"/>
      <c r="P185" s="4"/>
      <c r="Q185" s="137"/>
      <c r="R185" s="4"/>
      <c r="S185" s="4"/>
      <c r="T185" s="5"/>
      <c r="U185" s="154"/>
      <c r="V185" s="155"/>
      <c r="W185" s="123"/>
      <c r="X185" s="121"/>
      <c r="Y185" s="248"/>
    </row>
    <row r="186" spans="1:25" x14ac:dyDescent="0.3">
      <c r="A186" s="115"/>
      <c r="B186" s="137"/>
      <c r="C186" s="4"/>
      <c r="D186" s="4"/>
      <c r="E186" s="4"/>
      <c r="F186" s="126"/>
      <c r="G186" s="206"/>
      <c r="H186" s="4"/>
      <c r="I186" s="119" t="str">
        <f t="shared" si="3"/>
        <v>No</v>
      </c>
      <c r="J186" s="137"/>
      <c r="K186" s="123"/>
      <c r="L186" s="4"/>
      <c r="M186" s="4"/>
      <c r="N186" s="211"/>
      <c r="O186" s="137"/>
      <c r="P186" s="4"/>
      <c r="Q186" s="137"/>
      <c r="R186" s="4"/>
      <c r="S186" s="4"/>
      <c r="T186" s="5"/>
      <c r="U186" s="154"/>
      <c r="V186" s="155"/>
      <c r="W186" s="123"/>
      <c r="X186" s="121"/>
      <c r="Y186" s="248"/>
    </row>
    <row r="187" spans="1:25" x14ac:dyDescent="0.3">
      <c r="A187" s="115"/>
      <c r="B187" s="137"/>
      <c r="C187" s="4"/>
      <c r="D187" s="4"/>
      <c r="E187" s="4"/>
      <c r="F187" s="126"/>
      <c r="G187" s="206"/>
      <c r="H187" s="4"/>
      <c r="I187" s="119" t="str">
        <f t="shared" si="3"/>
        <v>No</v>
      </c>
      <c r="J187" s="137"/>
      <c r="K187" s="123"/>
      <c r="L187" s="4"/>
      <c r="M187" s="4"/>
      <c r="N187" s="211"/>
      <c r="O187" s="137"/>
      <c r="P187" s="4"/>
      <c r="Q187" s="137"/>
      <c r="R187" s="4"/>
      <c r="S187" s="4"/>
      <c r="T187" s="5"/>
      <c r="U187" s="154"/>
      <c r="V187" s="155"/>
      <c r="W187" s="123"/>
      <c r="X187" s="121"/>
      <c r="Y187" s="248"/>
    </row>
    <row r="188" spans="1:25" x14ac:dyDescent="0.3">
      <c r="A188" s="115"/>
      <c r="B188" s="137"/>
      <c r="C188" s="4"/>
      <c r="D188" s="4"/>
      <c r="E188" s="4"/>
      <c r="F188" s="126"/>
      <c r="G188" s="206"/>
      <c r="H188" s="4"/>
      <c r="I188" s="119" t="str">
        <f t="shared" si="3"/>
        <v>No</v>
      </c>
      <c r="J188" s="137"/>
      <c r="K188" s="123"/>
      <c r="L188" s="4"/>
      <c r="M188" s="4"/>
      <c r="N188" s="211"/>
      <c r="O188" s="137"/>
      <c r="P188" s="4"/>
      <c r="Q188" s="137"/>
      <c r="R188" s="4"/>
      <c r="S188" s="4"/>
      <c r="T188" s="5"/>
      <c r="U188" s="154"/>
      <c r="V188" s="155"/>
      <c r="W188" s="123"/>
      <c r="X188" s="121"/>
      <c r="Y188" s="248"/>
    </row>
    <row r="189" spans="1:25" x14ac:dyDescent="0.3">
      <c r="A189" s="115"/>
      <c r="B189" s="137"/>
      <c r="C189" s="4"/>
      <c r="D189" s="4"/>
      <c r="E189" s="4"/>
      <c r="F189" s="126"/>
      <c r="G189" s="206"/>
      <c r="H189" s="4"/>
      <c r="I189" s="119" t="str">
        <f t="shared" si="3"/>
        <v>No</v>
      </c>
      <c r="J189" s="137"/>
      <c r="K189" s="123"/>
      <c r="L189" s="4"/>
      <c r="M189" s="4"/>
      <c r="N189" s="211"/>
      <c r="O189" s="137"/>
      <c r="P189" s="4"/>
      <c r="Q189" s="137"/>
      <c r="R189" s="4"/>
      <c r="S189" s="4"/>
      <c r="T189" s="5"/>
      <c r="U189" s="154"/>
      <c r="V189" s="155"/>
      <c r="W189" s="123"/>
      <c r="X189" s="121"/>
      <c r="Y189" s="248"/>
    </row>
    <row r="190" spans="1:25" x14ac:dyDescent="0.3">
      <c r="A190" s="115"/>
      <c r="B190" s="137"/>
      <c r="C190" s="4"/>
      <c r="D190" s="4"/>
      <c r="E190" s="4"/>
      <c r="F190" s="126"/>
      <c r="G190" s="206"/>
      <c r="H190" s="4"/>
      <c r="I190" s="119" t="str">
        <f t="shared" si="3"/>
        <v>No</v>
      </c>
      <c r="J190" s="137"/>
      <c r="K190" s="123"/>
      <c r="L190" s="4"/>
      <c r="M190" s="4"/>
      <c r="N190" s="211"/>
      <c r="O190" s="137"/>
      <c r="P190" s="4"/>
      <c r="Q190" s="137"/>
      <c r="R190" s="4"/>
      <c r="S190" s="4"/>
      <c r="T190" s="5"/>
      <c r="U190" s="154"/>
      <c r="V190" s="155"/>
      <c r="W190" s="123"/>
      <c r="X190" s="121"/>
      <c r="Y190" s="248"/>
    </row>
    <row r="191" spans="1:25" x14ac:dyDescent="0.3">
      <c r="A191" s="115"/>
      <c r="B191" s="137"/>
      <c r="C191" s="4"/>
      <c r="D191" s="4"/>
      <c r="E191" s="4"/>
      <c r="F191" s="126"/>
      <c r="G191" s="206"/>
      <c r="H191" s="4"/>
      <c r="I191" s="119" t="str">
        <f t="shared" si="3"/>
        <v>No</v>
      </c>
      <c r="J191" s="137"/>
      <c r="K191" s="123"/>
      <c r="L191" s="4"/>
      <c r="M191" s="4"/>
      <c r="N191" s="211"/>
      <c r="O191" s="137"/>
      <c r="P191" s="4"/>
      <c r="Q191" s="137"/>
      <c r="R191" s="4"/>
      <c r="S191" s="4"/>
      <c r="T191" s="5"/>
      <c r="U191" s="154"/>
      <c r="V191" s="155"/>
      <c r="W191" s="123"/>
      <c r="X191" s="121"/>
      <c r="Y191" s="248"/>
    </row>
    <row r="192" spans="1:25" x14ac:dyDescent="0.3">
      <c r="A192" s="115"/>
      <c r="B192" s="137"/>
      <c r="C192" s="4"/>
      <c r="D192" s="4"/>
      <c r="E192" s="4"/>
      <c r="F192" s="126"/>
      <c r="G192" s="206"/>
      <c r="H192" s="4"/>
      <c r="I192" s="119" t="str">
        <f t="shared" si="3"/>
        <v>No</v>
      </c>
      <c r="J192" s="137"/>
      <c r="K192" s="123"/>
      <c r="L192" s="4"/>
      <c r="M192" s="4"/>
      <c r="N192" s="211"/>
      <c r="O192" s="137"/>
      <c r="P192" s="4"/>
      <c r="Q192" s="137"/>
      <c r="R192" s="4"/>
      <c r="S192" s="4"/>
      <c r="T192" s="5"/>
      <c r="U192" s="154"/>
      <c r="V192" s="155"/>
      <c r="W192" s="123"/>
      <c r="X192" s="121"/>
      <c r="Y192" s="248"/>
    </row>
    <row r="193" spans="1:25" x14ac:dyDescent="0.3">
      <c r="A193" s="115"/>
      <c r="B193" s="137"/>
      <c r="C193" s="4"/>
      <c r="D193" s="4"/>
      <c r="E193" s="4"/>
      <c r="F193" s="126"/>
      <c r="G193" s="206"/>
      <c r="H193" s="4"/>
      <c r="I193" s="119" t="str">
        <f t="shared" si="3"/>
        <v>No</v>
      </c>
      <c r="J193" s="137"/>
      <c r="K193" s="123"/>
      <c r="L193" s="4"/>
      <c r="M193" s="4"/>
      <c r="N193" s="211"/>
      <c r="O193" s="137"/>
      <c r="P193" s="4"/>
      <c r="Q193" s="137"/>
      <c r="R193" s="4"/>
      <c r="S193" s="4"/>
      <c r="T193" s="5"/>
      <c r="U193" s="154"/>
      <c r="V193" s="155"/>
      <c r="W193" s="123"/>
      <c r="X193" s="121"/>
      <c r="Y193" s="248"/>
    </row>
    <row r="194" spans="1:25" x14ac:dyDescent="0.3">
      <c r="A194" s="115"/>
      <c r="B194" s="137"/>
      <c r="C194" s="4"/>
      <c r="D194" s="4"/>
      <c r="E194" s="4"/>
      <c r="F194" s="126"/>
      <c r="G194" s="206"/>
      <c r="H194" s="4"/>
      <c r="I194" s="119" t="str">
        <f t="shared" si="3"/>
        <v>No</v>
      </c>
      <c r="J194" s="137"/>
      <c r="K194" s="123"/>
      <c r="L194" s="4"/>
      <c r="M194" s="4"/>
      <c r="N194" s="211"/>
      <c r="O194" s="137"/>
      <c r="P194" s="4"/>
      <c r="Q194" s="137"/>
      <c r="R194" s="4"/>
      <c r="S194" s="4"/>
      <c r="T194" s="5"/>
      <c r="U194" s="154"/>
      <c r="V194" s="155"/>
      <c r="W194" s="123"/>
      <c r="X194" s="121"/>
      <c r="Y194" s="248"/>
    </row>
    <row r="195" spans="1:25" x14ac:dyDescent="0.3">
      <c r="A195" s="115"/>
      <c r="B195" s="137"/>
      <c r="C195" s="4"/>
      <c r="D195" s="4"/>
      <c r="E195" s="4"/>
      <c r="F195" s="126"/>
      <c r="G195" s="206"/>
      <c r="H195" s="4"/>
      <c r="I195" s="119" t="str">
        <f t="shared" si="3"/>
        <v>No</v>
      </c>
      <c r="J195" s="137"/>
      <c r="K195" s="123"/>
      <c r="L195" s="4"/>
      <c r="M195" s="4"/>
      <c r="N195" s="211"/>
      <c r="O195" s="137"/>
      <c r="P195" s="4"/>
      <c r="Q195" s="137"/>
      <c r="R195" s="4"/>
      <c r="S195" s="4"/>
      <c r="T195" s="5"/>
      <c r="U195" s="154"/>
      <c r="V195" s="155"/>
      <c r="W195" s="123"/>
      <c r="X195" s="121"/>
      <c r="Y195" s="248"/>
    </row>
    <row r="196" spans="1:25" x14ac:dyDescent="0.3">
      <c r="A196" s="115"/>
      <c r="B196" s="137"/>
      <c r="C196" s="4"/>
      <c r="D196" s="4"/>
      <c r="E196" s="4"/>
      <c r="F196" s="126"/>
      <c r="G196" s="206"/>
      <c r="H196" s="4"/>
      <c r="I196" s="119" t="str">
        <f t="shared" si="3"/>
        <v>No</v>
      </c>
      <c r="J196" s="137"/>
      <c r="K196" s="123"/>
      <c r="L196" s="4"/>
      <c r="M196" s="4"/>
      <c r="N196" s="211"/>
      <c r="O196" s="137"/>
      <c r="P196" s="4"/>
      <c r="Q196" s="137"/>
      <c r="R196" s="4"/>
      <c r="S196" s="4"/>
      <c r="T196" s="5"/>
      <c r="U196" s="154"/>
      <c r="V196" s="155"/>
      <c r="W196" s="123"/>
      <c r="X196" s="121"/>
      <c r="Y196" s="248"/>
    </row>
    <row r="197" spans="1:25" x14ac:dyDescent="0.3">
      <c r="A197" s="115"/>
      <c r="B197" s="137"/>
      <c r="C197" s="4"/>
      <c r="D197" s="4"/>
      <c r="E197" s="4"/>
      <c r="F197" s="126"/>
      <c r="G197" s="206"/>
      <c r="H197" s="4"/>
      <c r="I197" s="119" t="str">
        <f t="shared" si="3"/>
        <v>No</v>
      </c>
      <c r="J197" s="137"/>
      <c r="K197" s="123"/>
      <c r="L197" s="4"/>
      <c r="M197" s="4"/>
      <c r="N197" s="211"/>
      <c r="O197" s="137"/>
      <c r="P197" s="4"/>
      <c r="Q197" s="137"/>
      <c r="R197" s="4"/>
      <c r="S197" s="4"/>
      <c r="T197" s="5"/>
      <c r="U197" s="154"/>
      <c r="V197" s="155"/>
      <c r="W197" s="123"/>
      <c r="X197" s="121"/>
      <c r="Y197" s="248"/>
    </row>
    <row r="198" spans="1:25" x14ac:dyDescent="0.3">
      <c r="A198" s="115"/>
      <c r="B198" s="137"/>
      <c r="C198" s="4"/>
      <c r="D198" s="4"/>
      <c r="E198" s="4"/>
      <c r="F198" s="126"/>
      <c r="G198" s="206"/>
      <c r="H198" s="4"/>
      <c r="I198" s="119" t="str">
        <f t="shared" si="3"/>
        <v>No</v>
      </c>
      <c r="J198" s="137"/>
      <c r="K198" s="123"/>
      <c r="L198" s="4"/>
      <c r="M198" s="4"/>
      <c r="N198" s="211"/>
      <c r="O198" s="137"/>
      <c r="P198" s="4"/>
      <c r="Q198" s="137"/>
      <c r="R198" s="4"/>
      <c r="S198" s="4"/>
      <c r="T198" s="5"/>
      <c r="U198" s="154"/>
      <c r="V198" s="155"/>
      <c r="W198" s="123"/>
      <c r="X198" s="121"/>
      <c r="Y198" s="248"/>
    </row>
    <row r="199" spans="1:25" x14ac:dyDescent="0.3">
      <c r="A199" s="115"/>
      <c r="B199" s="137"/>
      <c r="C199" s="4"/>
      <c r="D199" s="4"/>
      <c r="E199" s="4"/>
      <c r="F199" s="126"/>
      <c r="G199" s="206"/>
      <c r="H199" s="4"/>
      <c r="I199" s="119" t="str">
        <f t="shared" si="3"/>
        <v>No</v>
      </c>
      <c r="J199" s="137"/>
      <c r="K199" s="123"/>
      <c r="L199" s="4"/>
      <c r="M199" s="4"/>
      <c r="N199" s="211"/>
      <c r="O199" s="137"/>
      <c r="P199" s="4"/>
      <c r="Q199" s="137"/>
      <c r="R199" s="4"/>
      <c r="S199" s="4"/>
      <c r="T199" s="5"/>
      <c r="U199" s="154"/>
      <c r="V199" s="155"/>
      <c r="W199" s="123"/>
      <c r="X199" s="121"/>
      <c r="Y199" s="248"/>
    </row>
    <row r="200" spans="1:25" x14ac:dyDescent="0.3">
      <c r="A200" s="115"/>
      <c r="B200" s="137"/>
      <c r="C200" s="4"/>
      <c r="D200" s="4"/>
      <c r="E200" s="4"/>
      <c r="F200" s="126"/>
      <c r="G200" s="206"/>
      <c r="H200" s="4"/>
      <c r="I200" s="119" t="str">
        <f t="shared" si="3"/>
        <v>No</v>
      </c>
      <c r="J200" s="137"/>
      <c r="K200" s="123"/>
      <c r="L200" s="4"/>
      <c r="M200" s="4"/>
      <c r="N200" s="211"/>
      <c r="O200" s="137"/>
      <c r="P200" s="4"/>
      <c r="Q200" s="137"/>
      <c r="R200" s="4"/>
      <c r="S200" s="4"/>
      <c r="T200" s="5"/>
      <c r="U200" s="154"/>
      <c r="V200" s="155"/>
      <c r="W200" s="123"/>
      <c r="X200" s="121"/>
      <c r="Y200" s="248"/>
    </row>
    <row r="201" spans="1:25" x14ac:dyDescent="0.3">
      <c r="A201" s="115"/>
      <c r="B201" s="137"/>
      <c r="C201" s="4"/>
      <c r="D201" s="4"/>
      <c r="E201" s="4"/>
      <c r="F201" s="126"/>
      <c r="G201" s="206"/>
      <c r="H201" s="4"/>
      <c r="I201" s="119" t="str">
        <f t="shared" si="3"/>
        <v>No</v>
      </c>
      <c r="J201" s="137"/>
      <c r="K201" s="123"/>
      <c r="L201" s="4"/>
      <c r="M201" s="4"/>
      <c r="N201" s="211"/>
      <c r="O201" s="137"/>
      <c r="P201" s="4"/>
      <c r="Q201" s="137"/>
      <c r="R201" s="4"/>
      <c r="S201" s="4"/>
      <c r="T201" s="5"/>
      <c r="U201" s="154"/>
      <c r="V201" s="155"/>
      <c r="W201" s="123"/>
      <c r="X201" s="121"/>
      <c r="Y201" s="248"/>
    </row>
    <row r="202" spans="1:25" x14ac:dyDescent="0.3">
      <c r="A202" s="115"/>
      <c r="B202" s="137"/>
      <c r="C202" s="4"/>
      <c r="D202" s="4"/>
      <c r="E202" s="4"/>
      <c r="F202" s="126"/>
      <c r="G202" s="206"/>
      <c r="H202" s="4"/>
      <c r="I202" s="119" t="str">
        <f t="shared" si="3"/>
        <v>No</v>
      </c>
      <c r="J202" s="137"/>
      <c r="K202" s="123"/>
      <c r="L202" s="4"/>
      <c r="M202" s="4"/>
      <c r="N202" s="211"/>
      <c r="O202" s="137"/>
      <c r="P202" s="4"/>
      <c r="Q202" s="137"/>
      <c r="R202" s="4"/>
      <c r="S202" s="4"/>
      <c r="T202" s="5"/>
      <c r="U202" s="154"/>
      <c r="V202" s="155"/>
      <c r="W202" s="123"/>
      <c r="X202" s="121"/>
      <c r="Y202" s="248"/>
    </row>
    <row r="203" spans="1:25" x14ac:dyDescent="0.3">
      <c r="A203" s="115"/>
      <c r="B203" s="137"/>
      <c r="C203" s="4"/>
      <c r="D203" s="4"/>
      <c r="E203" s="4"/>
      <c r="F203" s="126"/>
      <c r="G203" s="206"/>
      <c r="H203" s="4"/>
      <c r="I203" s="119" t="str">
        <f t="shared" si="3"/>
        <v>No</v>
      </c>
      <c r="J203" s="137"/>
      <c r="K203" s="123"/>
      <c r="L203" s="4"/>
      <c r="M203" s="4"/>
      <c r="N203" s="211"/>
      <c r="O203" s="137"/>
      <c r="P203" s="4"/>
      <c r="Q203" s="137"/>
      <c r="R203" s="4"/>
      <c r="S203" s="4"/>
      <c r="T203" s="5"/>
      <c r="U203" s="154"/>
      <c r="V203" s="155"/>
      <c r="W203" s="123"/>
      <c r="X203" s="121"/>
      <c r="Y203" s="248"/>
    </row>
    <row r="204" spans="1:25" x14ac:dyDescent="0.3">
      <c r="A204" s="115"/>
      <c r="B204" s="137"/>
      <c r="C204" s="4"/>
      <c r="D204" s="4"/>
      <c r="E204" s="4"/>
      <c r="F204" s="126"/>
      <c r="G204" s="206"/>
      <c r="H204" s="4"/>
      <c r="I204" s="119" t="str">
        <f t="shared" si="3"/>
        <v>No</v>
      </c>
      <c r="J204" s="137"/>
      <c r="K204" s="123"/>
      <c r="L204" s="4"/>
      <c r="M204" s="4"/>
      <c r="N204" s="211"/>
      <c r="O204" s="137"/>
      <c r="P204" s="4"/>
      <c r="Q204" s="137"/>
      <c r="R204" s="4"/>
      <c r="S204" s="4"/>
      <c r="T204" s="5"/>
      <c r="U204" s="154"/>
      <c r="V204" s="155"/>
      <c r="W204" s="123"/>
      <c r="X204" s="121"/>
      <c r="Y204" s="248"/>
    </row>
    <row r="205" spans="1:25" x14ac:dyDescent="0.3">
      <c r="A205" s="115"/>
      <c r="B205" s="137"/>
      <c r="C205" s="4"/>
      <c r="D205" s="4"/>
      <c r="E205" s="4"/>
      <c r="F205" s="126"/>
      <c r="G205" s="206"/>
      <c r="H205" s="4"/>
      <c r="I205" s="119" t="str">
        <f t="shared" si="3"/>
        <v>No</v>
      </c>
      <c r="J205" s="137"/>
      <c r="K205" s="123"/>
      <c r="L205" s="4"/>
      <c r="M205" s="4"/>
      <c r="N205" s="211"/>
      <c r="O205" s="137"/>
      <c r="P205" s="4"/>
      <c r="Q205" s="137"/>
      <c r="R205" s="4"/>
      <c r="S205" s="4"/>
      <c r="T205" s="5"/>
      <c r="U205" s="154"/>
      <c r="V205" s="155"/>
      <c r="W205" s="123"/>
      <c r="X205" s="121"/>
      <c r="Y205" s="248"/>
    </row>
    <row r="206" spans="1:25" x14ac:dyDescent="0.3">
      <c r="A206" s="115"/>
      <c r="B206" s="137"/>
      <c r="C206" s="4"/>
      <c r="D206" s="4"/>
      <c r="E206" s="4"/>
      <c r="F206" s="126"/>
      <c r="G206" s="206"/>
      <c r="H206" s="4"/>
      <c r="I206" s="119" t="str">
        <f t="shared" si="3"/>
        <v>No</v>
      </c>
      <c r="J206" s="137"/>
      <c r="K206" s="123"/>
      <c r="L206" s="4"/>
      <c r="M206" s="4"/>
      <c r="N206" s="211"/>
      <c r="O206" s="137"/>
      <c r="P206" s="4"/>
      <c r="Q206" s="137"/>
      <c r="R206" s="4"/>
      <c r="S206" s="4"/>
      <c r="T206" s="5"/>
      <c r="U206" s="154"/>
      <c r="V206" s="155"/>
      <c r="W206" s="123"/>
      <c r="X206" s="121"/>
      <c r="Y206" s="248"/>
    </row>
    <row r="207" spans="1:25" x14ac:dyDescent="0.3">
      <c r="A207" s="115"/>
      <c r="B207" s="137"/>
      <c r="C207" s="4"/>
      <c r="D207" s="4"/>
      <c r="E207" s="4"/>
      <c r="F207" s="126"/>
      <c r="G207" s="206"/>
      <c r="H207" s="4"/>
      <c r="I207" s="119" t="str">
        <f t="shared" si="3"/>
        <v>No</v>
      </c>
      <c r="J207" s="137"/>
      <c r="K207" s="123"/>
      <c r="L207" s="4"/>
      <c r="M207" s="4"/>
      <c r="N207" s="211"/>
      <c r="O207" s="137"/>
      <c r="P207" s="4"/>
      <c r="Q207" s="137"/>
      <c r="R207" s="4"/>
      <c r="S207" s="4"/>
      <c r="T207" s="5"/>
      <c r="U207" s="154"/>
      <c r="V207" s="155"/>
      <c r="W207" s="123"/>
      <c r="X207" s="121"/>
      <c r="Y207" s="248"/>
    </row>
    <row r="208" spans="1:25" x14ac:dyDescent="0.3">
      <c r="A208" s="115"/>
      <c r="B208" s="137"/>
      <c r="C208" s="4"/>
      <c r="D208" s="4"/>
      <c r="E208" s="4"/>
      <c r="F208" s="126"/>
      <c r="G208" s="206"/>
      <c r="H208" s="4"/>
      <c r="I208" s="119" t="str">
        <f t="shared" si="3"/>
        <v>No</v>
      </c>
      <c r="J208" s="137"/>
      <c r="K208" s="123"/>
      <c r="L208" s="4"/>
      <c r="M208" s="4"/>
      <c r="N208" s="211"/>
      <c r="O208" s="137"/>
      <c r="P208" s="4"/>
      <c r="Q208" s="137"/>
      <c r="R208" s="4"/>
      <c r="S208" s="4"/>
      <c r="T208" s="5"/>
      <c r="U208" s="154"/>
      <c r="V208" s="155"/>
      <c r="W208" s="123"/>
      <c r="X208" s="121"/>
      <c r="Y208" s="248"/>
    </row>
    <row r="209" spans="1:25" x14ac:dyDescent="0.3">
      <c r="A209" s="115"/>
      <c r="B209" s="138"/>
      <c r="C209" s="9"/>
      <c r="D209" s="9"/>
      <c r="E209" s="9"/>
      <c r="F209" s="128"/>
      <c r="G209" s="206"/>
      <c r="H209" s="4"/>
      <c r="I209" s="119" t="str">
        <f t="shared" si="3"/>
        <v>No</v>
      </c>
      <c r="J209" s="138"/>
      <c r="K209" s="237"/>
      <c r="L209" s="4"/>
      <c r="M209" s="4"/>
      <c r="N209" s="117"/>
      <c r="O209" s="138"/>
      <c r="P209" s="9"/>
      <c r="Q209" s="137"/>
      <c r="R209" s="4"/>
      <c r="S209" s="4"/>
      <c r="T209" s="5"/>
      <c r="U209" s="154"/>
      <c r="V209" s="155"/>
      <c r="W209" s="123"/>
      <c r="X209" s="120"/>
      <c r="Y209" s="248"/>
    </row>
    <row r="210" spans="1:25" x14ac:dyDescent="0.3">
      <c r="A210" s="115"/>
      <c r="B210" s="137"/>
      <c r="C210" s="4"/>
      <c r="D210" s="4"/>
      <c r="E210" s="4"/>
      <c r="F210" s="126"/>
      <c r="G210" s="206"/>
      <c r="H210" s="4"/>
      <c r="I210" s="119" t="str">
        <f t="shared" si="3"/>
        <v>No</v>
      </c>
      <c r="J210" s="137"/>
      <c r="K210" s="123"/>
      <c r="L210" s="4"/>
      <c r="M210" s="4"/>
      <c r="N210" s="211"/>
      <c r="O210" s="137"/>
      <c r="P210" s="4"/>
      <c r="Q210" s="137"/>
      <c r="R210" s="4"/>
      <c r="S210" s="4"/>
      <c r="T210" s="5"/>
      <c r="U210" s="154"/>
      <c r="V210" s="155"/>
      <c r="W210" s="123"/>
      <c r="X210" s="121"/>
      <c r="Y210" s="248"/>
    </row>
    <row r="211" spans="1:25" x14ac:dyDescent="0.3">
      <c r="A211" s="115"/>
      <c r="B211" s="137"/>
      <c r="C211" s="4"/>
      <c r="D211" s="4"/>
      <c r="E211" s="4"/>
      <c r="F211" s="126"/>
      <c r="G211" s="206"/>
      <c r="H211" s="4"/>
      <c r="I211" s="119" t="str">
        <f t="shared" si="3"/>
        <v>No</v>
      </c>
      <c r="J211" s="137"/>
      <c r="K211" s="123"/>
      <c r="L211" s="4"/>
      <c r="M211" s="4"/>
      <c r="N211" s="211"/>
      <c r="O211" s="137"/>
      <c r="P211" s="4"/>
      <c r="Q211" s="137"/>
      <c r="R211" s="4"/>
      <c r="S211" s="4"/>
      <c r="T211" s="5"/>
      <c r="U211" s="154"/>
      <c r="V211" s="155"/>
      <c r="W211" s="123"/>
      <c r="X211" s="121"/>
      <c r="Y211" s="248"/>
    </row>
    <row r="212" spans="1:25" x14ac:dyDescent="0.3">
      <c r="A212" s="115"/>
      <c r="B212" s="137"/>
      <c r="C212" s="4"/>
      <c r="D212" s="4"/>
      <c r="E212" s="4"/>
      <c r="F212" s="126"/>
      <c r="G212" s="206"/>
      <c r="H212" s="4"/>
      <c r="I212" s="119" t="str">
        <f t="shared" si="3"/>
        <v>No</v>
      </c>
      <c r="J212" s="137"/>
      <c r="K212" s="123"/>
      <c r="L212" s="4"/>
      <c r="M212" s="4"/>
      <c r="N212" s="211"/>
      <c r="O212" s="137"/>
      <c r="P212" s="4"/>
      <c r="Q212" s="137"/>
      <c r="R212" s="4"/>
      <c r="S212" s="4"/>
      <c r="T212" s="5"/>
      <c r="U212" s="154"/>
      <c r="V212" s="155"/>
      <c r="W212" s="123"/>
      <c r="X212" s="121"/>
      <c r="Y212" s="248"/>
    </row>
    <row r="213" spans="1:25" x14ac:dyDescent="0.3">
      <c r="A213" s="115"/>
      <c r="B213" s="137"/>
      <c r="C213" s="4"/>
      <c r="D213" s="4"/>
      <c r="E213" s="4"/>
      <c r="F213" s="126"/>
      <c r="G213" s="206"/>
      <c r="H213" s="4"/>
      <c r="I213" s="119" t="str">
        <f t="shared" si="3"/>
        <v>No</v>
      </c>
      <c r="J213" s="137"/>
      <c r="K213" s="123"/>
      <c r="L213" s="4"/>
      <c r="M213" s="4"/>
      <c r="N213" s="211"/>
      <c r="O213" s="137"/>
      <c r="P213" s="4"/>
      <c r="Q213" s="137"/>
      <c r="R213" s="4"/>
      <c r="S213" s="4"/>
      <c r="T213" s="5"/>
      <c r="U213" s="154"/>
      <c r="V213" s="155"/>
      <c r="W213" s="123"/>
      <c r="X213" s="121"/>
      <c r="Y213" s="248"/>
    </row>
    <row r="214" spans="1:25" x14ac:dyDescent="0.3">
      <c r="A214" s="115"/>
      <c r="B214" s="137"/>
      <c r="C214" s="4"/>
      <c r="D214" s="4"/>
      <c r="E214" s="4"/>
      <c r="F214" s="126"/>
      <c r="G214" s="206"/>
      <c r="H214" s="4"/>
      <c r="I214" s="119" t="str">
        <f t="shared" si="3"/>
        <v>No</v>
      </c>
      <c r="J214" s="137"/>
      <c r="K214" s="123"/>
      <c r="L214" s="4"/>
      <c r="M214" s="4"/>
      <c r="N214" s="211"/>
      <c r="O214" s="137"/>
      <c r="P214" s="4"/>
      <c r="Q214" s="137"/>
      <c r="R214" s="4"/>
      <c r="S214" s="4"/>
      <c r="T214" s="5"/>
      <c r="U214" s="154"/>
      <c r="V214" s="155"/>
      <c r="W214" s="123"/>
      <c r="X214" s="121"/>
      <c r="Y214" s="248"/>
    </row>
    <row r="215" spans="1:25" x14ac:dyDescent="0.3">
      <c r="A215" s="115"/>
      <c r="B215" s="137"/>
      <c r="C215" s="4"/>
      <c r="D215" s="4"/>
      <c r="E215" s="4"/>
      <c r="F215" s="126"/>
      <c r="G215" s="206"/>
      <c r="H215" s="4"/>
      <c r="I215" s="119" t="str">
        <f t="shared" si="3"/>
        <v>No</v>
      </c>
      <c r="J215" s="137"/>
      <c r="K215" s="123"/>
      <c r="L215" s="4"/>
      <c r="M215" s="4"/>
      <c r="N215" s="211"/>
      <c r="O215" s="137"/>
      <c r="P215" s="4"/>
      <c r="Q215" s="137"/>
      <c r="R215" s="4"/>
      <c r="S215" s="4"/>
      <c r="T215" s="5"/>
      <c r="U215" s="154"/>
      <c r="V215" s="155"/>
      <c r="W215" s="123"/>
      <c r="X215" s="121"/>
      <c r="Y215" s="248"/>
    </row>
    <row r="216" spans="1:25" x14ac:dyDescent="0.3">
      <c r="A216" s="115"/>
      <c r="B216" s="137"/>
      <c r="C216" s="4"/>
      <c r="D216" s="4"/>
      <c r="E216" s="4"/>
      <c r="F216" s="126"/>
      <c r="G216" s="206"/>
      <c r="H216" s="4"/>
      <c r="I216" s="119" t="str">
        <f t="shared" ref="I216:I239" si="4">IF(H216&gt;=37.8,"Yes","No")</f>
        <v>No</v>
      </c>
      <c r="J216" s="137"/>
      <c r="K216" s="123"/>
      <c r="L216" s="4"/>
      <c r="M216" s="4"/>
      <c r="N216" s="211"/>
      <c r="O216" s="137"/>
      <c r="P216" s="4"/>
      <c r="Q216" s="137"/>
      <c r="R216" s="4"/>
      <c r="S216" s="4"/>
      <c r="T216" s="5"/>
      <c r="U216" s="154"/>
      <c r="V216" s="155"/>
      <c r="W216" s="123"/>
      <c r="X216" s="121"/>
      <c r="Y216" s="248"/>
    </row>
    <row r="217" spans="1:25" x14ac:dyDescent="0.3">
      <c r="A217" s="115"/>
      <c r="B217" s="137"/>
      <c r="C217" s="4"/>
      <c r="D217" s="4"/>
      <c r="E217" s="4"/>
      <c r="F217" s="126"/>
      <c r="G217" s="206"/>
      <c r="H217" s="4"/>
      <c r="I217" s="119" t="str">
        <f t="shared" si="4"/>
        <v>No</v>
      </c>
      <c r="J217" s="137"/>
      <c r="K217" s="123"/>
      <c r="L217" s="4"/>
      <c r="M217" s="4"/>
      <c r="N217" s="211"/>
      <c r="O217" s="137"/>
      <c r="P217" s="4"/>
      <c r="Q217" s="137"/>
      <c r="R217" s="4"/>
      <c r="S217" s="4"/>
      <c r="T217" s="5"/>
      <c r="U217" s="154"/>
      <c r="V217" s="155"/>
      <c r="W217" s="123"/>
      <c r="X217" s="121"/>
      <c r="Y217" s="248"/>
    </row>
    <row r="218" spans="1:25" x14ac:dyDescent="0.3">
      <c r="A218" s="115"/>
      <c r="B218" s="137"/>
      <c r="C218" s="4"/>
      <c r="D218" s="4"/>
      <c r="E218" s="4"/>
      <c r="F218" s="126"/>
      <c r="G218" s="206"/>
      <c r="H218" s="4"/>
      <c r="I218" s="119" t="str">
        <f t="shared" si="4"/>
        <v>No</v>
      </c>
      <c r="J218" s="137"/>
      <c r="K218" s="123"/>
      <c r="L218" s="4"/>
      <c r="M218" s="4"/>
      <c r="N218" s="211"/>
      <c r="O218" s="137"/>
      <c r="P218" s="4"/>
      <c r="Q218" s="137"/>
      <c r="R218" s="4"/>
      <c r="S218" s="4"/>
      <c r="T218" s="5"/>
      <c r="U218" s="154"/>
      <c r="V218" s="155"/>
      <c r="W218" s="123"/>
      <c r="X218" s="121"/>
      <c r="Y218" s="248"/>
    </row>
    <row r="219" spans="1:25" x14ac:dyDescent="0.3">
      <c r="A219" s="115"/>
      <c r="B219" s="137"/>
      <c r="C219" s="4"/>
      <c r="D219" s="4"/>
      <c r="E219" s="4"/>
      <c r="F219" s="126"/>
      <c r="G219" s="206"/>
      <c r="H219" s="4"/>
      <c r="I219" s="119" t="str">
        <f t="shared" si="4"/>
        <v>No</v>
      </c>
      <c r="J219" s="137"/>
      <c r="K219" s="123"/>
      <c r="L219" s="4"/>
      <c r="M219" s="4"/>
      <c r="N219" s="211"/>
      <c r="O219" s="137"/>
      <c r="P219" s="4"/>
      <c r="Q219" s="137"/>
      <c r="R219" s="4"/>
      <c r="S219" s="4"/>
      <c r="T219" s="5"/>
      <c r="U219" s="154"/>
      <c r="V219" s="155"/>
      <c r="W219" s="123"/>
      <c r="X219" s="121"/>
      <c r="Y219" s="248"/>
    </row>
    <row r="220" spans="1:25" x14ac:dyDescent="0.3">
      <c r="A220" s="115"/>
      <c r="B220" s="137"/>
      <c r="C220" s="4"/>
      <c r="D220" s="4"/>
      <c r="E220" s="4"/>
      <c r="F220" s="126"/>
      <c r="G220" s="206"/>
      <c r="H220" s="4"/>
      <c r="I220" s="119" t="str">
        <f t="shared" si="4"/>
        <v>No</v>
      </c>
      <c r="J220" s="137"/>
      <c r="K220" s="123"/>
      <c r="L220" s="4"/>
      <c r="M220" s="4"/>
      <c r="N220" s="211"/>
      <c r="O220" s="137"/>
      <c r="P220" s="4"/>
      <c r="Q220" s="137"/>
      <c r="R220" s="4"/>
      <c r="S220" s="4"/>
      <c r="T220" s="5"/>
      <c r="U220" s="154"/>
      <c r="V220" s="155"/>
      <c r="W220" s="123"/>
      <c r="X220" s="121"/>
      <c r="Y220" s="248"/>
    </row>
    <row r="221" spans="1:25" x14ac:dyDescent="0.3">
      <c r="A221" s="115"/>
      <c r="B221" s="137"/>
      <c r="C221" s="4"/>
      <c r="D221" s="4"/>
      <c r="E221" s="4"/>
      <c r="F221" s="126"/>
      <c r="G221" s="206"/>
      <c r="H221" s="4"/>
      <c r="I221" s="119" t="str">
        <f t="shared" si="4"/>
        <v>No</v>
      </c>
      <c r="J221" s="137"/>
      <c r="K221" s="123"/>
      <c r="L221" s="4"/>
      <c r="M221" s="4"/>
      <c r="N221" s="211"/>
      <c r="O221" s="137"/>
      <c r="P221" s="4"/>
      <c r="Q221" s="137"/>
      <c r="R221" s="4"/>
      <c r="S221" s="4"/>
      <c r="T221" s="5"/>
      <c r="U221" s="154"/>
      <c r="V221" s="155"/>
      <c r="W221" s="123"/>
      <c r="X221" s="121"/>
      <c r="Y221" s="248"/>
    </row>
    <row r="222" spans="1:25" x14ac:dyDescent="0.3">
      <c r="A222" s="115"/>
      <c r="B222" s="137"/>
      <c r="C222" s="4"/>
      <c r="D222" s="4"/>
      <c r="E222" s="4"/>
      <c r="F222" s="126"/>
      <c r="G222" s="206"/>
      <c r="H222" s="4"/>
      <c r="I222" s="119" t="str">
        <f t="shared" si="4"/>
        <v>No</v>
      </c>
      <c r="J222" s="137"/>
      <c r="K222" s="123"/>
      <c r="L222" s="4"/>
      <c r="M222" s="4"/>
      <c r="N222" s="211"/>
      <c r="O222" s="137"/>
      <c r="P222" s="4"/>
      <c r="Q222" s="137"/>
      <c r="R222" s="4"/>
      <c r="S222" s="4"/>
      <c r="T222" s="5"/>
      <c r="U222" s="154"/>
      <c r="V222" s="155"/>
      <c r="W222" s="123"/>
      <c r="X222" s="121"/>
      <c r="Y222" s="248"/>
    </row>
    <row r="223" spans="1:25" x14ac:dyDescent="0.3">
      <c r="A223" s="115"/>
      <c r="B223" s="137"/>
      <c r="C223" s="4"/>
      <c r="D223" s="4"/>
      <c r="E223" s="4"/>
      <c r="F223" s="126"/>
      <c r="G223" s="206"/>
      <c r="H223" s="4"/>
      <c r="I223" s="119" t="str">
        <f t="shared" si="4"/>
        <v>No</v>
      </c>
      <c r="J223" s="137"/>
      <c r="K223" s="123"/>
      <c r="L223" s="4"/>
      <c r="M223" s="4"/>
      <c r="N223" s="211"/>
      <c r="O223" s="137"/>
      <c r="P223" s="4"/>
      <c r="Q223" s="137"/>
      <c r="R223" s="4"/>
      <c r="S223" s="4"/>
      <c r="T223" s="5"/>
      <c r="U223" s="154"/>
      <c r="V223" s="155"/>
      <c r="W223" s="123"/>
      <c r="X223" s="121"/>
      <c r="Y223" s="248"/>
    </row>
    <row r="224" spans="1:25" x14ac:dyDescent="0.3">
      <c r="A224" s="115"/>
      <c r="B224" s="137"/>
      <c r="C224" s="4"/>
      <c r="D224" s="4"/>
      <c r="E224" s="4"/>
      <c r="F224" s="126"/>
      <c r="G224" s="206"/>
      <c r="H224" s="4"/>
      <c r="I224" s="119" t="str">
        <f t="shared" si="4"/>
        <v>No</v>
      </c>
      <c r="J224" s="137"/>
      <c r="K224" s="123"/>
      <c r="L224" s="4"/>
      <c r="M224" s="4"/>
      <c r="N224" s="211"/>
      <c r="O224" s="137"/>
      <c r="P224" s="4"/>
      <c r="Q224" s="137"/>
      <c r="R224" s="4"/>
      <c r="S224" s="4"/>
      <c r="T224" s="5"/>
      <c r="U224" s="154"/>
      <c r="V224" s="155"/>
      <c r="W224" s="123"/>
      <c r="X224" s="121"/>
      <c r="Y224" s="248"/>
    </row>
    <row r="225" spans="1:25" x14ac:dyDescent="0.3">
      <c r="A225" s="115"/>
      <c r="B225" s="137"/>
      <c r="C225" s="4"/>
      <c r="D225" s="4"/>
      <c r="E225" s="4"/>
      <c r="F225" s="126"/>
      <c r="G225" s="206"/>
      <c r="H225" s="4"/>
      <c r="I225" s="119" t="str">
        <f t="shared" si="4"/>
        <v>No</v>
      </c>
      <c r="J225" s="137"/>
      <c r="K225" s="123"/>
      <c r="L225" s="4"/>
      <c r="M225" s="4"/>
      <c r="N225" s="211"/>
      <c r="O225" s="137"/>
      <c r="P225" s="4"/>
      <c r="Q225" s="137"/>
      <c r="R225" s="4"/>
      <c r="S225" s="4"/>
      <c r="T225" s="5"/>
      <c r="U225" s="154"/>
      <c r="V225" s="155"/>
      <c r="W225" s="123"/>
      <c r="X225" s="121"/>
      <c r="Y225" s="248"/>
    </row>
    <row r="226" spans="1:25" x14ac:dyDescent="0.3">
      <c r="A226" s="115"/>
      <c r="B226" s="137"/>
      <c r="C226" s="4"/>
      <c r="D226" s="4"/>
      <c r="E226" s="4"/>
      <c r="F226" s="126"/>
      <c r="G226" s="206"/>
      <c r="H226" s="4"/>
      <c r="I226" s="119" t="str">
        <f t="shared" si="4"/>
        <v>No</v>
      </c>
      <c r="J226" s="137"/>
      <c r="K226" s="123"/>
      <c r="L226" s="4"/>
      <c r="M226" s="4"/>
      <c r="N226" s="211"/>
      <c r="O226" s="137"/>
      <c r="P226" s="4"/>
      <c r="Q226" s="137"/>
      <c r="R226" s="4"/>
      <c r="S226" s="4"/>
      <c r="T226" s="5"/>
      <c r="U226" s="154"/>
      <c r="V226" s="155"/>
      <c r="W226" s="123"/>
      <c r="X226" s="121"/>
      <c r="Y226" s="248"/>
    </row>
    <row r="227" spans="1:25" x14ac:dyDescent="0.3">
      <c r="A227" s="115"/>
      <c r="B227" s="137"/>
      <c r="C227" s="4"/>
      <c r="D227" s="4"/>
      <c r="E227" s="4"/>
      <c r="F227" s="126"/>
      <c r="G227" s="206"/>
      <c r="H227" s="4"/>
      <c r="I227" s="119" t="str">
        <f t="shared" si="4"/>
        <v>No</v>
      </c>
      <c r="J227" s="137"/>
      <c r="K227" s="123"/>
      <c r="L227" s="4"/>
      <c r="M227" s="4"/>
      <c r="N227" s="211"/>
      <c r="O227" s="137"/>
      <c r="P227" s="4"/>
      <c r="Q227" s="137"/>
      <c r="R227" s="4"/>
      <c r="S227" s="4"/>
      <c r="T227" s="5"/>
      <c r="U227" s="154"/>
      <c r="V227" s="155"/>
      <c r="W227" s="123"/>
      <c r="X227" s="121"/>
      <c r="Y227" s="248"/>
    </row>
    <row r="228" spans="1:25" x14ac:dyDescent="0.3">
      <c r="A228" s="115"/>
      <c r="B228" s="137"/>
      <c r="C228" s="4"/>
      <c r="D228" s="4"/>
      <c r="E228" s="4"/>
      <c r="F228" s="126"/>
      <c r="G228" s="206"/>
      <c r="H228" s="4"/>
      <c r="I228" s="119" t="str">
        <f t="shared" si="4"/>
        <v>No</v>
      </c>
      <c r="J228" s="137"/>
      <c r="K228" s="123"/>
      <c r="L228" s="4"/>
      <c r="M228" s="4"/>
      <c r="N228" s="211"/>
      <c r="O228" s="137"/>
      <c r="P228" s="4"/>
      <c r="Q228" s="137"/>
      <c r="R228" s="4"/>
      <c r="S228" s="4"/>
      <c r="T228" s="5"/>
      <c r="U228" s="154"/>
      <c r="V228" s="155"/>
      <c r="W228" s="123"/>
      <c r="X228" s="121"/>
      <c r="Y228" s="248"/>
    </row>
    <row r="229" spans="1:25" x14ac:dyDescent="0.3">
      <c r="A229" s="115"/>
      <c r="B229" s="137"/>
      <c r="C229" s="4"/>
      <c r="D229" s="4"/>
      <c r="E229" s="4"/>
      <c r="F229" s="126"/>
      <c r="G229" s="206"/>
      <c r="H229" s="4"/>
      <c r="I229" s="119" t="str">
        <f t="shared" si="4"/>
        <v>No</v>
      </c>
      <c r="J229" s="137"/>
      <c r="K229" s="123"/>
      <c r="L229" s="4"/>
      <c r="M229" s="4"/>
      <c r="N229" s="211"/>
      <c r="O229" s="137"/>
      <c r="P229" s="4"/>
      <c r="Q229" s="137"/>
      <c r="R229" s="4"/>
      <c r="S229" s="4"/>
      <c r="T229" s="5"/>
      <c r="U229" s="154"/>
      <c r="V229" s="155"/>
      <c r="W229" s="123"/>
      <c r="X229" s="121"/>
      <c r="Y229" s="248"/>
    </row>
    <row r="230" spans="1:25" x14ac:dyDescent="0.3">
      <c r="A230" s="115"/>
      <c r="B230" s="137"/>
      <c r="C230" s="4"/>
      <c r="D230" s="4"/>
      <c r="E230" s="4"/>
      <c r="F230" s="126"/>
      <c r="G230" s="206"/>
      <c r="H230" s="4"/>
      <c r="I230" s="119" t="str">
        <f t="shared" si="4"/>
        <v>No</v>
      </c>
      <c r="J230" s="137"/>
      <c r="K230" s="123"/>
      <c r="L230" s="4"/>
      <c r="M230" s="4"/>
      <c r="N230" s="211"/>
      <c r="O230" s="137"/>
      <c r="P230" s="4"/>
      <c r="Q230" s="137"/>
      <c r="R230" s="4"/>
      <c r="S230" s="4"/>
      <c r="T230" s="5"/>
      <c r="U230" s="154"/>
      <c r="V230" s="155"/>
      <c r="W230" s="123"/>
      <c r="X230" s="121"/>
      <c r="Y230" s="248"/>
    </row>
    <row r="231" spans="1:25" x14ac:dyDescent="0.3">
      <c r="A231" s="115"/>
      <c r="B231" s="137"/>
      <c r="C231" s="4"/>
      <c r="D231" s="4"/>
      <c r="E231" s="4"/>
      <c r="F231" s="126"/>
      <c r="G231" s="206"/>
      <c r="H231" s="4"/>
      <c r="I231" s="119" t="str">
        <f t="shared" si="4"/>
        <v>No</v>
      </c>
      <c r="J231" s="137"/>
      <c r="K231" s="123"/>
      <c r="L231" s="4"/>
      <c r="M231" s="4"/>
      <c r="N231" s="211"/>
      <c r="O231" s="137"/>
      <c r="P231" s="4"/>
      <c r="Q231" s="137"/>
      <c r="R231" s="4"/>
      <c r="S231" s="4"/>
      <c r="T231" s="5"/>
      <c r="U231" s="154"/>
      <c r="V231" s="155"/>
      <c r="W231" s="123"/>
      <c r="X231" s="121"/>
      <c r="Y231" s="248"/>
    </row>
    <row r="232" spans="1:25" x14ac:dyDescent="0.3">
      <c r="A232" s="115"/>
      <c r="B232" s="137"/>
      <c r="C232" s="4"/>
      <c r="D232" s="4"/>
      <c r="E232" s="4"/>
      <c r="F232" s="126"/>
      <c r="G232" s="206"/>
      <c r="H232" s="4"/>
      <c r="I232" s="119" t="str">
        <f t="shared" si="4"/>
        <v>No</v>
      </c>
      <c r="J232" s="137"/>
      <c r="K232" s="123"/>
      <c r="L232" s="4"/>
      <c r="M232" s="4"/>
      <c r="N232" s="211"/>
      <c r="O232" s="137"/>
      <c r="P232" s="4"/>
      <c r="Q232" s="148"/>
      <c r="R232" s="120"/>
      <c r="S232" s="120"/>
      <c r="T232" s="147"/>
      <c r="U232" s="149"/>
      <c r="V232" s="150"/>
      <c r="W232" s="123"/>
      <c r="X232" s="121"/>
      <c r="Y232" s="248"/>
    </row>
    <row r="233" spans="1:25" x14ac:dyDescent="0.3">
      <c r="A233" s="115"/>
      <c r="B233" s="137"/>
      <c r="C233" s="4"/>
      <c r="D233" s="4"/>
      <c r="E233" s="4"/>
      <c r="F233" s="126"/>
      <c r="G233" s="206"/>
      <c r="H233" s="4"/>
      <c r="I233" s="119" t="str">
        <f t="shared" si="4"/>
        <v>No</v>
      </c>
      <c r="J233" s="137"/>
      <c r="K233" s="123"/>
      <c r="L233" s="4"/>
      <c r="M233" s="4"/>
      <c r="N233" s="211"/>
      <c r="O233" s="137"/>
      <c r="P233" s="4"/>
      <c r="Q233" s="148"/>
      <c r="R233" s="120"/>
      <c r="S233" s="120"/>
      <c r="T233" s="147"/>
      <c r="U233" s="149"/>
      <c r="V233" s="150"/>
      <c r="W233" s="123"/>
      <c r="X233" s="121"/>
      <c r="Y233" s="248"/>
    </row>
    <row r="234" spans="1:25" x14ac:dyDescent="0.3">
      <c r="A234" s="115"/>
      <c r="B234" s="137"/>
      <c r="C234" s="4"/>
      <c r="D234" s="4"/>
      <c r="E234" s="4"/>
      <c r="F234" s="126"/>
      <c r="G234" s="206"/>
      <c r="H234" s="4"/>
      <c r="I234" s="119" t="str">
        <f t="shared" si="4"/>
        <v>No</v>
      </c>
      <c r="J234" s="137"/>
      <c r="K234" s="123"/>
      <c r="L234" s="4"/>
      <c r="M234" s="4"/>
      <c r="N234" s="211"/>
      <c r="O234" s="137"/>
      <c r="P234" s="4"/>
      <c r="Q234" s="148"/>
      <c r="R234" s="120"/>
      <c r="S234" s="120"/>
      <c r="T234" s="147"/>
      <c r="U234" s="149"/>
      <c r="V234" s="150"/>
      <c r="W234" s="123"/>
      <c r="X234" s="121"/>
      <c r="Y234" s="248"/>
    </row>
    <row r="235" spans="1:25" x14ac:dyDescent="0.3">
      <c r="A235" s="115"/>
      <c r="B235" s="137"/>
      <c r="C235" s="4"/>
      <c r="D235" s="4"/>
      <c r="E235" s="4"/>
      <c r="F235" s="126"/>
      <c r="G235" s="206"/>
      <c r="H235" s="4"/>
      <c r="I235" s="119" t="str">
        <f t="shared" si="4"/>
        <v>No</v>
      </c>
      <c r="J235" s="137"/>
      <c r="K235" s="123"/>
      <c r="L235" s="4"/>
      <c r="M235" s="4"/>
      <c r="N235" s="211"/>
      <c r="O235" s="137"/>
      <c r="P235" s="4"/>
      <c r="Q235" s="148"/>
      <c r="R235" s="120"/>
      <c r="S235" s="120"/>
      <c r="T235" s="147"/>
      <c r="U235" s="149"/>
      <c r="V235" s="150"/>
      <c r="W235" s="123"/>
      <c r="X235" s="121"/>
      <c r="Y235" s="248"/>
    </row>
    <row r="236" spans="1:25" x14ac:dyDescent="0.3">
      <c r="A236" s="115"/>
      <c r="B236" s="137"/>
      <c r="C236" s="4"/>
      <c r="D236" s="4"/>
      <c r="E236" s="4"/>
      <c r="F236" s="126"/>
      <c r="G236" s="206"/>
      <c r="H236" s="4"/>
      <c r="I236" s="119" t="str">
        <f t="shared" si="4"/>
        <v>No</v>
      </c>
      <c r="J236" s="137"/>
      <c r="K236" s="123"/>
      <c r="L236" s="4"/>
      <c r="M236" s="4"/>
      <c r="N236" s="211"/>
      <c r="O236" s="137"/>
      <c r="P236" s="4"/>
      <c r="Q236" s="148"/>
      <c r="R236" s="120"/>
      <c r="S236" s="120"/>
      <c r="T236" s="147"/>
      <c r="U236" s="149"/>
      <c r="V236" s="150"/>
      <c r="W236" s="123"/>
      <c r="X236" s="121"/>
      <c r="Y236" s="248"/>
    </row>
    <row r="237" spans="1:25" x14ac:dyDescent="0.3">
      <c r="A237" s="115"/>
      <c r="B237" s="137"/>
      <c r="C237" s="4"/>
      <c r="D237" s="4"/>
      <c r="E237" s="4"/>
      <c r="F237" s="126"/>
      <c r="G237" s="206"/>
      <c r="H237" s="4"/>
      <c r="I237" s="119" t="str">
        <f t="shared" si="4"/>
        <v>No</v>
      </c>
      <c r="J237" s="137"/>
      <c r="K237" s="123"/>
      <c r="L237" s="4"/>
      <c r="M237" s="4"/>
      <c r="N237" s="211"/>
      <c r="O237" s="137"/>
      <c r="P237" s="4"/>
      <c r="Q237" s="148"/>
      <c r="R237" s="120"/>
      <c r="S237" s="120"/>
      <c r="T237" s="147"/>
      <c r="U237" s="149"/>
      <c r="V237" s="150"/>
      <c r="W237" s="123"/>
      <c r="X237" s="121"/>
      <c r="Y237" s="248"/>
    </row>
    <row r="238" spans="1:25" x14ac:dyDescent="0.3">
      <c r="A238" s="115"/>
      <c r="B238" s="138"/>
      <c r="C238" s="9"/>
      <c r="D238" s="9"/>
      <c r="E238" s="9"/>
      <c r="F238" s="128"/>
      <c r="G238" s="206"/>
      <c r="H238" s="9"/>
      <c r="I238" s="124" t="str">
        <f t="shared" si="4"/>
        <v>No</v>
      </c>
      <c r="J238" s="138"/>
      <c r="K238" s="237"/>
      <c r="L238" s="4"/>
      <c r="M238" s="4"/>
      <c r="N238" s="117"/>
      <c r="O238" s="138"/>
      <c r="P238" s="9"/>
      <c r="Q238" s="148"/>
      <c r="R238" s="120"/>
      <c r="S238" s="120"/>
      <c r="T238" s="147"/>
      <c r="U238" s="149"/>
      <c r="V238" s="150"/>
      <c r="W238" s="123"/>
      <c r="X238" s="120"/>
      <c r="Y238" s="248"/>
    </row>
    <row r="239" spans="1:25" ht="15" thickBot="1" x14ac:dyDescent="0.35">
      <c r="A239" s="115"/>
      <c r="B239" s="4"/>
      <c r="C239" s="4"/>
      <c r="D239" s="4"/>
      <c r="E239" s="4"/>
      <c r="F239" s="126"/>
      <c r="G239" s="206"/>
      <c r="H239" s="4"/>
      <c r="I239" s="125" t="str">
        <f t="shared" si="4"/>
        <v>No</v>
      </c>
      <c r="J239" s="158"/>
      <c r="K239" s="237"/>
      <c r="L239" s="4"/>
      <c r="M239" s="4"/>
      <c r="N239" s="213"/>
      <c r="O239" s="158"/>
      <c r="P239" s="159"/>
      <c r="Q239" s="158"/>
      <c r="R239" s="159"/>
      <c r="S239" s="159"/>
      <c r="T239" s="160"/>
      <c r="U239" s="161"/>
      <c r="V239" s="162"/>
      <c r="W239" s="123"/>
      <c r="X239" s="4"/>
      <c r="Y239" s="248"/>
    </row>
    <row r="240" spans="1:25" x14ac:dyDescent="0.3">
      <c r="A240" s="250"/>
      <c r="B240" s="251"/>
      <c r="C240" s="251"/>
      <c r="D240" s="251"/>
      <c r="E240" s="251"/>
      <c r="F240" s="251"/>
      <c r="G240" s="251"/>
      <c r="H240" s="251"/>
      <c r="I240" s="251"/>
      <c r="J240" s="251"/>
      <c r="K240" s="251"/>
      <c r="L240" s="251"/>
      <c r="M240" s="251"/>
      <c r="N240" s="251"/>
      <c r="O240" s="251"/>
      <c r="P240" s="251"/>
      <c r="Q240" s="251"/>
      <c r="R240" s="251"/>
      <c r="S240" s="251"/>
      <c r="T240" s="251"/>
      <c r="U240" s="251"/>
      <c r="V240" s="251"/>
      <c r="W240" s="251"/>
      <c r="X240" s="251"/>
      <c r="Y240" s="248"/>
    </row>
    <row r="241" spans="1:25" ht="15" thickBot="1" x14ac:dyDescent="0.35">
      <c r="A241" s="252"/>
      <c r="B241" s="253"/>
      <c r="C241" s="253"/>
      <c r="D241" s="253"/>
      <c r="E241" s="253"/>
      <c r="F241" s="253"/>
      <c r="G241" s="253"/>
      <c r="H241" s="253"/>
      <c r="I241" s="253"/>
      <c r="J241" s="253"/>
      <c r="K241" s="253"/>
      <c r="L241" s="253"/>
      <c r="M241" s="253"/>
      <c r="N241" s="253"/>
      <c r="O241" s="253"/>
      <c r="P241" s="253"/>
      <c r="Q241" s="253"/>
      <c r="R241" s="253"/>
      <c r="S241" s="253"/>
      <c r="T241" s="253"/>
      <c r="U241" s="253"/>
      <c r="V241" s="253"/>
      <c r="W241" s="253"/>
      <c r="X241" s="253"/>
      <c r="Y241" s="249"/>
    </row>
  </sheetData>
  <mergeCells count="10">
    <mergeCell ref="W4:X4"/>
    <mergeCell ref="A240:X241"/>
    <mergeCell ref="A1:X1"/>
    <mergeCell ref="Y2:Y241"/>
    <mergeCell ref="E2:F2"/>
    <mergeCell ref="H2:X2"/>
    <mergeCell ref="E3:F3"/>
    <mergeCell ref="J4:N4"/>
    <mergeCell ref="O4:P4"/>
    <mergeCell ref="Q4:T4"/>
  </mergeCells>
  <dataValidations count="2">
    <dataValidation type="list" allowBlank="1" showInputMessage="1" showErrorMessage="1" sqref="G6:G239 W6:W239" xr:uid="{00000000-0002-0000-0900-000000000000}">
      <formula1>$BF$2:$BF$2</formula1>
    </dataValidation>
    <dataValidation type="list" allowBlank="1" showInputMessage="1" showErrorMessage="1" sqref="B2:B1048576" xr:uid="{00000000-0002-0000-0900-000001000000}">
      <formula1>"January, February, March, April, May, June, July, August, September, October, November, December"</formula1>
    </dataValidation>
  </dataValidations>
  <pageMargins left="0.7" right="0.7" top="0.75" bottom="0.75" header="0.3" footer="0.3"/>
  <pageSetup orientation="portrait" horizontalDpi="300" vertic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A86D"/>
  </sheetPr>
  <dimension ref="A1:L45"/>
  <sheetViews>
    <sheetView workbookViewId="0">
      <selection activeCell="C5" sqref="C5"/>
    </sheetView>
  </sheetViews>
  <sheetFormatPr defaultColWidth="9.109375" defaultRowHeight="13.8" x14ac:dyDescent="0.3"/>
  <cols>
    <col min="1" max="1" width="2.33203125" style="10" customWidth="1"/>
    <col min="2" max="2" width="11" style="10" customWidth="1"/>
    <col min="3" max="8" width="10" style="10" customWidth="1"/>
    <col min="9" max="9" width="4" style="10" customWidth="1"/>
    <col min="10" max="11" width="3.44140625" style="10" customWidth="1"/>
    <col min="12" max="16384" width="9.109375" style="10"/>
  </cols>
  <sheetData>
    <row r="1" spans="1:12" ht="21.6" thickBot="1" x14ac:dyDescent="0.45">
      <c r="A1" s="270" t="s">
        <v>69</v>
      </c>
      <c r="B1" s="271"/>
      <c r="C1" s="271"/>
      <c r="D1" s="271"/>
      <c r="E1" s="271"/>
      <c r="F1" s="271"/>
      <c r="G1" s="271"/>
      <c r="H1" s="271"/>
      <c r="I1" s="271"/>
      <c r="J1" s="271"/>
      <c r="K1" s="271"/>
      <c r="L1" s="272"/>
    </row>
    <row r="2" spans="1:12" ht="13.5" customHeight="1" thickBot="1" x14ac:dyDescent="0.45">
      <c r="A2" s="337"/>
      <c r="B2" s="279"/>
      <c r="C2" s="279"/>
      <c r="D2" s="279"/>
      <c r="E2" s="279"/>
      <c r="F2" s="279"/>
      <c r="G2" s="279"/>
      <c r="H2" s="279"/>
      <c r="I2" s="279"/>
      <c r="J2" s="279"/>
      <c r="K2" s="279"/>
      <c r="L2" s="338"/>
    </row>
    <row r="3" spans="1:12" ht="13.5" customHeight="1" thickBot="1" x14ac:dyDescent="0.35">
      <c r="A3" s="232"/>
      <c r="B3" s="273" t="s">
        <v>325</v>
      </c>
      <c r="C3" s="274"/>
      <c r="D3" s="274"/>
      <c r="E3" s="274"/>
      <c r="F3" s="274"/>
      <c r="G3" s="274"/>
      <c r="H3" s="275"/>
      <c r="I3" s="190"/>
      <c r="J3" s="190"/>
      <c r="K3" s="190"/>
      <c r="L3" s="38"/>
    </row>
    <row r="4" spans="1:12" ht="29.25" customHeight="1" thickBot="1" x14ac:dyDescent="0.35">
      <c r="A4" s="39"/>
      <c r="B4" s="94" t="s">
        <v>1</v>
      </c>
      <c r="C4" s="74" t="s">
        <v>10</v>
      </c>
      <c r="D4" s="75" t="s">
        <v>143</v>
      </c>
      <c r="E4" s="96" t="s">
        <v>12</v>
      </c>
      <c r="F4" s="98" t="s">
        <v>316</v>
      </c>
      <c r="G4" s="238" t="s">
        <v>329</v>
      </c>
      <c r="H4" s="99" t="s">
        <v>67</v>
      </c>
      <c r="I4" s="81"/>
      <c r="J4" s="82"/>
      <c r="K4" s="82"/>
      <c r="L4" s="233" t="s">
        <v>76</v>
      </c>
    </row>
    <row r="5" spans="1:12" x14ac:dyDescent="0.3">
      <c r="A5" s="39"/>
      <c r="B5" s="41" t="s">
        <v>115</v>
      </c>
      <c r="C5" s="61">
        <f>COUNTIFS(Staff[Month],"January",Staff[COVID-19],"X")+COUNTIFS(Staff[Month],"January",Staff[Pneumonia],"X")+COUNTIFS(Staff[Month],"January",Staff[Upper Respiratory Tract Infection],"X")+COUNTIFS(Staff[Month],"January",Staff[Lower Respiratory Tract Infection],"X")+COUNTIFS(Staff[Month],"January",Staff[Influenza],"X")</f>
        <v>0</v>
      </c>
      <c r="D5" s="61">
        <f>COUNTIFS(Staff[Month],"January",Staff[Gastroenteritis],"X")+COUNTIFS(Staff[Month],"January",Staff[Norovirus],"X")</f>
        <v>0</v>
      </c>
      <c r="E5" s="61">
        <f>COUNTIFS(Staff[Month],"January",Staff[Cellulitis/Soft Tissue/Wound],"X")+COUNTIFS(Staff[Month],"January",Staff[Fungal],"X")+COUNTIFS(Staff[Month],"January",Staff[Herpes virus],"X")+COUNTIFS(Staff[Month],"January",Staff[Scabies],"X")</f>
        <v>0</v>
      </c>
      <c r="F5" s="61">
        <f>COUNTIFS(Staff[Month],"January",Staff[Optional 1],"X")</f>
        <v>0</v>
      </c>
      <c r="G5" s="61">
        <f>COUNTIFS(Staff[Month],"January",Staff[Optional 2],"X")</f>
        <v>0</v>
      </c>
      <c r="H5" s="50">
        <f t="shared" ref="H5:H16" si="0">SUM(C5:G5)</f>
        <v>0</v>
      </c>
      <c r="I5" s="13"/>
      <c r="J5" s="13"/>
      <c r="K5" s="13"/>
      <c r="L5" s="234"/>
    </row>
    <row r="6" spans="1:12" x14ac:dyDescent="0.3">
      <c r="A6" s="39"/>
      <c r="B6" s="45" t="s">
        <v>110</v>
      </c>
      <c r="C6" s="62">
        <f>COUNTIFS(Staff[Month],"February",Staff[COVID-19],"X")+COUNTIFS(Staff[Month],"February",Staff[Pneumonia],"X")+COUNTIFS(Staff[Month],"February",Staff[Upper Respiratory Tract Infection],"X")+COUNTIFS(Staff[Month],"February",Staff[Lower Respiratory Tract Infection],"X")+COUNTIFS(Staff[Month],"February",Staff[Influenza],"X")</f>
        <v>0</v>
      </c>
      <c r="D6" s="62">
        <f>COUNTIFS(Staff[Month],"February",Staff[Gastroenteritis],"X")+COUNTIFS(Staff[Month],"February",Staff[Norovirus],"X")</f>
        <v>0</v>
      </c>
      <c r="E6" s="62">
        <f>COUNTIFS(Staff[Month],"February",Staff[Cellulitis/Soft Tissue/Wound],"X")+COUNTIFS(Staff[Month],"February",Staff[Fungal],"X")+COUNTIFS(Staff[Month],"February",Staff[Herpes virus],"X")+COUNTIFS(Staff[Month],"February",Staff[Scabies],"X")</f>
        <v>0</v>
      </c>
      <c r="F6" s="62">
        <f>COUNTIFS(Staff[Month],"February",Staff[Optional 1],"X")</f>
        <v>0</v>
      </c>
      <c r="G6" s="62">
        <f>COUNTIFS(Staff[Month],"February",Staff[Optional 2],"X")</f>
        <v>0</v>
      </c>
      <c r="H6" s="51">
        <f t="shared" si="0"/>
        <v>0</v>
      </c>
      <c r="I6" s="13"/>
      <c r="J6" s="13"/>
      <c r="K6" s="13"/>
      <c r="L6" s="38"/>
    </row>
    <row r="7" spans="1:12" x14ac:dyDescent="0.3">
      <c r="A7" s="39"/>
      <c r="B7" s="45" t="s">
        <v>111</v>
      </c>
      <c r="C7" s="62">
        <f>COUNTIFS(Staff[Month],"March",Staff[COVID-19],"X")+COUNTIFS(Staff[Month],"March",Staff[Pneumonia],"X")+COUNTIFS(Staff[Month],"March",Staff[Upper Respiratory Tract Infection],"X")+COUNTIFS(Staff[Month],"March",Staff[Lower Respiratory Tract Infection],"X")+COUNTIFS(Staff[Month],"March",Staff[Influenza],"X")</f>
        <v>0</v>
      </c>
      <c r="D7" s="62">
        <f>COUNTIFS(Staff[Month],"March",Staff[Gastroenteritis],"X")+COUNTIFS(Staff[Month],"March",Staff[Norovirus],"X")</f>
        <v>0</v>
      </c>
      <c r="E7" s="62">
        <f>COUNTIFS(Staff[Month],"March",Staff[Cellulitis/Soft Tissue/Wound],"X")+COUNTIFS(Staff[Month],"March",Staff[Fungal],"X")+COUNTIFS(Staff[Month],"March",Staff[Herpes virus],"X")+COUNTIFS(Staff[Month],"March",Staff[Scabies],"X")</f>
        <v>0</v>
      </c>
      <c r="F7" s="62">
        <f>COUNTIFS(Staff[Month],"March",Staff[Optional 1],"X")</f>
        <v>0</v>
      </c>
      <c r="G7" s="62">
        <f>COUNTIFS(Staff[Month],"March",Staff[Optional 2],"X")</f>
        <v>0</v>
      </c>
      <c r="H7" s="51">
        <f t="shared" si="0"/>
        <v>0</v>
      </c>
      <c r="I7" s="13"/>
      <c r="J7" s="13"/>
      <c r="K7" s="13"/>
      <c r="L7" s="38"/>
    </row>
    <row r="8" spans="1:12" x14ac:dyDescent="0.3">
      <c r="A8" s="39"/>
      <c r="B8" s="45" t="s">
        <v>146</v>
      </c>
      <c r="C8" s="62">
        <f>COUNTIFS(Staff[Month],"April",Staff[COVID-19],"X")+COUNTIFS(Staff[Month],"April",Staff[Pneumonia],"X")+COUNTIFS(Staff[Month],"April",Staff[Upper Respiratory Tract Infection],"X")+COUNTIFS(Staff[Month],"April",Staff[Lower Respiratory Tract Infection],"X")+COUNTIFS(Staff[Month],"April",Staff[Influenza],"X")</f>
        <v>0</v>
      </c>
      <c r="D8" s="62">
        <f>COUNTIFS(Staff[Month],"April",Staff[Gastroenteritis],"X")+COUNTIFS(Staff[Month],"April",Staff[Norovirus],"X")</f>
        <v>0</v>
      </c>
      <c r="E8" s="62">
        <f>COUNTIFS(Staff[Month],"April",Staff[Cellulitis/Soft Tissue/Wound],"X")+COUNTIFS(Staff[Month],"April",Staff[Fungal],"X")+COUNTIFS(Staff[Month],"April",Staff[Herpes virus],"X")+COUNTIFS(Staff[Month],"April",Staff[Scabies],"X")</f>
        <v>0</v>
      </c>
      <c r="F8" s="62">
        <f>COUNTIFS(Staff[Month],"April",Staff[Optional 1],"X")</f>
        <v>0</v>
      </c>
      <c r="G8" s="62">
        <f>COUNTIFS(Staff[Month],"April",Staff[Optional 2],"X")</f>
        <v>0</v>
      </c>
      <c r="H8" s="51">
        <f t="shared" si="0"/>
        <v>0</v>
      </c>
      <c r="I8" s="13"/>
      <c r="J8" s="13"/>
      <c r="K8" s="13"/>
      <c r="L8" s="38"/>
    </row>
    <row r="9" spans="1:12" x14ac:dyDescent="0.3">
      <c r="A9" s="39"/>
      <c r="B9" s="45" t="s">
        <v>35</v>
      </c>
      <c r="C9" s="62">
        <f>COUNTIFS(Staff[Month],"May",Staff[COVID-19],"X")+COUNTIFS(Staff[Month],"May",Staff[Pneumonia],"X")+COUNTIFS(Staff[Month],"May",Staff[Upper Respiratory Tract Infection],"X")+COUNTIFS(Staff[Month],"May",Staff[Lower Respiratory Tract Infection],"X")+COUNTIFS(Staff[Month],"May",Staff[Influenza],"X")</f>
        <v>0</v>
      </c>
      <c r="D9" s="62">
        <f>COUNTIFS(Staff[Month],"May",Staff[Gastroenteritis],"X")+COUNTIFS(Staff[Month],"May",Staff[Norovirus],"X")</f>
        <v>0</v>
      </c>
      <c r="E9" s="62">
        <f>COUNTIFS(Staff[Month],"May",Staff[Cellulitis/Soft Tissue/Wound],"X")+COUNTIFS(Staff[Month],"May",Staff[Fungal],"X")+COUNTIFS(Staff[Month],"May",Staff[Herpes virus],"X")+COUNTIFS(Staff[Month],"May",Staff[Scabies],"X")</f>
        <v>0</v>
      </c>
      <c r="F9" s="62">
        <f>COUNTIFS(Staff[Month],"May",Staff[Optional 1],"X")</f>
        <v>0</v>
      </c>
      <c r="G9" s="62">
        <f>COUNTIFS(Staff[Month],"May",Staff[Optional 2],"X")</f>
        <v>0</v>
      </c>
      <c r="H9" s="51">
        <f t="shared" si="0"/>
        <v>0</v>
      </c>
      <c r="I9" s="13"/>
      <c r="J9" s="13"/>
      <c r="K9" s="13"/>
      <c r="L9" s="38"/>
    </row>
    <row r="10" spans="1:12" x14ac:dyDescent="0.3">
      <c r="A10" s="39"/>
      <c r="B10" s="45" t="s">
        <v>112</v>
      </c>
      <c r="C10" s="62">
        <f>COUNTIFS(Staff[Month],"June",Staff[COVID-19],"X")+COUNTIFS(Staff[Month],"June",Staff[Pneumonia],"X")+COUNTIFS(Staff[Month],"June",Staff[Upper Respiratory Tract Infection],"X")+COUNTIFS(Staff[Month],"June",Staff[Lower Respiratory Tract Infection],"X")+COUNTIFS(Staff[Month],"June",Staff[Influenza],"X")</f>
        <v>0</v>
      </c>
      <c r="D10" s="62">
        <f>COUNTIFS(Staff[Month],"June",Staff[Gastroenteritis],"X")+COUNTIFS(Staff[Month],"June",Staff[Norovirus],"X")</f>
        <v>0</v>
      </c>
      <c r="E10" s="62">
        <f>COUNTIFS(Staff[Month],"June",Staff[Cellulitis/Soft Tissue/Wound],"X")+COUNTIFS(Staff[Month],"June",Staff[Fungal],"X")+COUNTIFS(Staff[Month],"June",Staff[Herpes virus],"X")+COUNTIFS(Staff[Month],"June",Staff[Scabies],"X")</f>
        <v>0</v>
      </c>
      <c r="F10" s="62">
        <f>COUNTIFS(Staff[Month],"June",Staff[Optional 1],"X")</f>
        <v>0</v>
      </c>
      <c r="G10" s="62">
        <f>COUNTIFS(Staff[Month],"June",Staff[Optional 2],"X")</f>
        <v>0</v>
      </c>
      <c r="H10" s="51">
        <f t="shared" si="0"/>
        <v>0</v>
      </c>
      <c r="I10" s="13"/>
      <c r="J10" s="13"/>
      <c r="K10" s="13"/>
      <c r="L10" s="38"/>
    </row>
    <row r="11" spans="1:12" x14ac:dyDescent="0.3">
      <c r="A11" s="39"/>
      <c r="B11" s="45" t="s">
        <v>144</v>
      </c>
      <c r="C11" s="62">
        <f>COUNTIFS(Staff[Month],"July",Staff[COVID-19],"X")+COUNTIFS(Staff[Month],"July",Staff[Pneumonia],"X")+COUNTIFS(Staff[Month],"July",Staff[Upper Respiratory Tract Infection],"X")+COUNTIFS(Staff[Month],"July",Staff[Lower Respiratory Tract Infection],"X")+COUNTIFS(Staff[Month],"July",Staff[Influenza],"X")</f>
        <v>0</v>
      </c>
      <c r="D11" s="62">
        <f>COUNTIFS(Staff[Month],"July",Staff[Gastroenteritis],"X")+COUNTIFS(Staff[Month],"July",Staff[Norovirus],"X")</f>
        <v>0</v>
      </c>
      <c r="E11" s="62">
        <f>COUNTIFS(Staff[Month],"July",Staff[Cellulitis/Soft Tissue/Wound],"X")+COUNTIFS(Staff[Month],"July",Staff[Fungal],"X")+COUNTIFS(Staff[Month],"July",Staff[Herpes virus],"X")+COUNTIFS(Staff[Month],"July",Staff[Scabies],"X")</f>
        <v>0</v>
      </c>
      <c r="F11" s="62">
        <f>COUNTIFS(Staff[Month],"July",Staff[Optional 1],"X")</f>
        <v>0</v>
      </c>
      <c r="G11" s="62">
        <f>COUNTIFS(Staff[Month],"July",Staff[Optional 2],"X")</f>
        <v>0</v>
      </c>
      <c r="H11" s="51">
        <f t="shared" si="0"/>
        <v>0</v>
      </c>
      <c r="I11" s="13"/>
      <c r="J11" s="13"/>
      <c r="K11" s="13"/>
      <c r="L11" s="38"/>
    </row>
    <row r="12" spans="1:12" x14ac:dyDescent="0.3">
      <c r="A12" s="39"/>
      <c r="B12" s="45" t="s">
        <v>113</v>
      </c>
      <c r="C12" s="62">
        <f>COUNTIFS(Staff[Month],"August",Staff[COVID-19],"X")+COUNTIFS(Staff[Month],"August",Staff[Pneumonia],"X")+COUNTIFS(Staff[Month],"August",Staff[Upper Respiratory Tract Infection],"X")+COUNTIFS(Staff[Month],"August",Staff[Lower Respiratory Tract Infection],"X")+COUNTIFS(Staff[Month],"August",Staff[Influenza],"X")</f>
        <v>0</v>
      </c>
      <c r="D12" s="62">
        <f>COUNTIFS(Staff[Month],"August",Staff[Gastroenteritis],"X")+COUNTIFS(Staff[Month],"August",Staff[Norovirus],"X")</f>
        <v>0</v>
      </c>
      <c r="E12" s="62">
        <f>COUNTIFS(Staff[Month],"August",Staff[Cellulitis/Soft Tissue/Wound],"X")+COUNTIFS(Staff[Month],"August",Staff[Fungal],"X")+COUNTIFS(Staff[Month],"August",Staff[Herpes virus],"X")+COUNTIFS(Staff[Month],"August",Staff[Scabies],"X")</f>
        <v>0</v>
      </c>
      <c r="F12" s="62">
        <f>COUNTIFS(Staff[Month],"August",Staff[Optional 1],"X")</f>
        <v>0</v>
      </c>
      <c r="G12" s="62">
        <f>COUNTIFS(Staff[Month],"August",Staff[Optional 2],"X")</f>
        <v>0</v>
      </c>
      <c r="H12" s="51">
        <f t="shared" si="0"/>
        <v>0</v>
      </c>
      <c r="I12" s="13"/>
      <c r="J12" s="13"/>
      <c r="K12" s="13"/>
      <c r="L12" s="38"/>
    </row>
    <row r="13" spans="1:12" x14ac:dyDescent="0.3">
      <c r="A13" s="39"/>
      <c r="B13" s="45" t="s">
        <v>145</v>
      </c>
      <c r="C13" s="62">
        <f>COUNTIFS(Staff[Month],"September",Staff[COVID-19],"X")+COUNTIFS(Staff[Month],"September",Staff[Pneumonia],"X")+COUNTIFS(Staff[Month],"September",Staff[Upper Respiratory Tract Infection],"X")+COUNTIFS(Staff[Month],"September",Staff[Lower Respiratory Tract Infection],"X")+COUNTIFS(Staff[Month],"September",Staff[Influenza],"X")</f>
        <v>0</v>
      </c>
      <c r="D13" s="62">
        <f>COUNTIFS(Staff[Month],"September",Staff[Gastroenteritis],"X")+COUNTIFS(Staff[Month],"September",Staff[Norovirus],"X")</f>
        <v>0</v>
      </c>
      <c r="E13" s="62">
        <f>COUNTIFS(Staff[Month],"September",Staff[Cellulitis/Soft Tissue/Wound],"X")+COUNTIFS(Staff[Month],"September",Staff[Fungal],"X")+COUNTIFS(Staff[Month],"September",Staff[Herpes virus],"X")+COUNTIFS(Staff[Month],"September",Staff[Scabies],"X")</f>
        <v>0</v>
      </c>
      <c r="F13" s="62">
        <f>COUNTIFS(Staff[Month],"September",Staff[Optional 1],"X")</f>
        <v>0</v>
      </c>
      <c r="G13" s="62">
        <f>COUNTIFS(Staff[Month],"September",Staff[Optional 2],"X")</f>
        <v>0</v>
      </c>
      <c r="H13" s="51">
        <f t="shared" si="0"/>
        <v>0</v>
      </c>
      <c r="I13" s="13"/>
      <c r="J13" s="13"/>
      <c r="K13" s="13"/>
      <c r="L13" s="38"/>
    </row>
    <row r="14" spans="1:12" x14ac:dyDescent="0.3">
      <c r="A14" s="39"/>
      <c r="B14" s="45" t="s">
        <v>116</v>
      </c>
      <c r="C14" s="62">
        <f>COUNTIFS(Staff[Month],"October",Staff[COVID-19],"X")+COUNTIFS(Staff[Month],"October",Staff[Pneumonia],"X")+COUNTIFS(Staff[Month],"October",Staff[Upper Respiratory Tract Infection],"X")+COUNTIFS(Staff[Month],"October",Staff[Lower Respiratory Tract Infection],"X")+COUNTIFS(Staff[Month],"October",Staff[Influenza],"X")</f>
        <v>0</v>
      </c>
      <c r="D14" s="62">
        <f>COUNTIFS(Staff[Month],"October",Staff[Gastroenteritis],"X")+COUNTIFS(Staff[Month],"October",Staff[Norovirus],"X")</f>
        <v>0</v>
      </c>
      <c r="E14" s="62">
        <f>COUNTIFS(Staff[Month],"October",Staff[Cellulitis/Soft Tissue/Wound],"X")+COUNTIFS(Staff[Month],"October",Staff[Fungal],"X")+COUNTIFS(Staff[Month],"October",Staff[Herpes virus],"X")+COUNTIFS(Staff[Month],"October",Staff[Scabies],"X")</f>
        <v>0</v>
      </c>
      <c r="F14" s="62">
        <f>COUNTIFS(Staff[Month],"October",Staff[Optional 1],"X")</f>
        <v>0</v>
      </c>
      <c r="G14" s="62">
        <f>COUNTIFS(Staff[Month],"October",Staff[Optional 2],"X")</f>
        <v>0</v>
      </c>
      <c r="H14" s="51">
        <f t="shared" si="0"/>
        <v>0</v>
      </c>
      <c r="I14" s="13"/>
      <c r="J14" s="13"/>
      <c r="K14" s="13"/>
      <c r="L14" s="38"/>
    </row>
    <row r="15" spans="1:12" x14ac:dyDescent="0.3">
      <c r="A15" s="39"/>
      <c r="B15" s="45" t="s">
        <v>117</v>
      </c>
      <c r="C15" s="62">
        <f>COUNTIFS(Staff[Month],"November",Staff[COVID-19],"X")+COUNTIFS(Staff[Month],"November",Staff[Pneumonia],"X")+COUNTIFS(Staff[Month],"November",Staff[Upper Respiratory Tract Infection],"X")+COUNTIFS(Staff[Month],"November",Staff[Lower Respiratory Tract Infection],"X")+COUNTIFS(Staff[Month],"November",Staff[Influenza],"X")</f>
        <v>0</v>
      </c>
      <c r="D15" s="62">
        <f>COUNTIFS(Staff[Month],"November",Staff[Gastroenteritis],"X")+COUNTIFS(Staff[Month],"November",Staff[Norovirus],"X")</f>
        <v>0</v>
      </c>
      <c r="E15" s="62">
        <f>COUNTIFS(Staff[Month],"November",Staff[Cellulitis/Soft Tissue/Wound],"X")+COUNTIFS(Staff[Month],"November",Staff[Fungal],"X")+COUNTIFS(Staff[Month],"November",Staff[Herpes virus],"X")+COUNTIFS(Staff[Month],"November",Staff[Scabies],"X")</f>
        <v>0</v>
      </c>
      <c r="F15" s="62">
        <f>COUNTIFS(Staff[Month],"November",Staff[Optional 1],"X")</f>
        <v>0</v>
      </c>
      <c r="G15" s="62">
        <f>COUNTIFS(Staff[Month],"November",Staff[Optional 2],"X")</f>
        <v>0</v>
      </c>
      <c r="H15" s="51">
        <f t="shared" si="0"/>
        <v>0</v>
      </c>
      <c r="I15" s="13"/>
      <c r="J15" s="13"/>
      <c r="K15" s="13"/>
      <c r="L15" s="38"/>
    </row>
    <row r="16" spans="1:12" ht="14.4" thickBot="1" x14ac:dyDescent="0.35">
      <c r="A16" s="39"/>
      <c r="B16" s="60" t="s">
        <v>118</v>
      </c>
      <c r="C16" s="63">
        <f>COUNTIFS(Staff[Month],"December",Staff[COVID-19],"X")+COUNTIFS(Staff[Month],"December",Staff[Pneumonia],"X")+COUNTIFS(Staff[Month],"December",Staff[Upper Respiratory Tract Infection],"X")+COUNTIFS(Staff[Month],"December",Staff[Lower Respiratory Tract Infection],"X")+COUNTIFS(Staff[Month],"December",Staff[Influenza],"X")</f>
        <v>0</v>
      </c>
      <c r="D16" s="63">
        <f>COUNTIFS(Staff[Month],"December",Staff[Gastroenteritis],"X")+COUNTIFS(Staff[Month],"December",Staff[Norovirus],"X")</f>
        <v>0</v>
      </c>
      <c r="E16" s="63">
        <f>COUNTIFS(Staff[Month],"December",Staff[Cellulitis/Soft Tissue/Wound],"X")+COUNTIFS(Staff[Month],"December",Staff[Fungal],"X")+COUNTIFS(Staff[Month],"December",Staff[Herpes virus],"X")+COUNTIFS(Staff[Month],"December",Staff[Scabies],"X")</f>
        <v>0</v>
      </c>
      <c r="F16" s="63">
        <f>COUNTIFS(Staff[Month],"December",Staff[Optional 1],"X")</f>
        <v>0</v>
      </c>
      <c r="G16" s="63">
        <f>COUNTIFS(Staff[Month],"December",Staff[Optional 2],"X")</f>
        <v>0</v>
      </c>
      <c r="H16" s="59">
        <f t="shared" si="0"/>
        <v>0</v>
      </c>
      <c r="I16" s="13"/>
      <c r="J16" s="13"/>
      <c r="K16" s="13"/>
      <c r="L16" s="38"/>
    </row>
    <row r="17" spans="1:12" ht="14.4" thickBot="1" x14ac:dyDescent="0.35">
      <c r="A17" s="39"/>
      <c r="B17" s="54" t="s">
        <v>68</v>
      </c>
      <c r="C17" s="55">
        <f>SUM(C5:C16)</f>
        <v>0</v>
      </c>
      <c r="D17" s="56">
        <f t="shared" ref="D17:H17" si="1">SUM(D5:D16)</f>
        <v>0</v>
      </c>
      <c r="E17" s="57">
        <f t="shared" si="1"/>
        <v>0</v>
      </c>
      <c r="F17" s="56">
        <f t="shared" si="1"/>
        <v>0</v>
      </c>
      <c r="G17" s="58">
        <f t="shared" si="1"/>
        <v>0</v>
      </c>
      <c r="H17" s="52">
        <f t="shared" si="1"/>
        <v>0</v>
      </c>
      <c r="I17" s="13"/>
      <c r="J17" s="13"/>
      <c r="K17" s="13"/>
      <c r="L17" s="38"/>
    </row>
    <row r="18" spans="1:12" ht="14.4" thickBot="1" x14ac:dyDescent="0.35">
      <c r="A18" s="39"/>
      <c r="B18" s="13"/>
      <c r="C18" s="13"/>
      <c r="D18" s="13"/>
      <c r="E18" s="13"/>
      <c r="F18" s="13"/>
      <c r="G18" s="13"/>
      <c r="H18" s="13"/>
      <c r="I18" s="13"/>
      <c r="J18" s="13"/>
      <c r="K18" s="13"/>
      <c r="L18" s="38"/>
    </row>
    <row r="19" spans="1:12" x14ac:dyDescent="0.3">
      <c r="A19" s="284"/>
      <c r="B19" s="285"/>
      <c r="C19" s="285"/>
      <c r="D19" s="285"/>
      <c r="E19" s="285"/>
      <c r="F19" s="285"/>
      <c r="G19" s="285"/>
      <c r="H19" s="285"/>
      <c r="I19" s="285"/>
      <c r="J19" s="285"/>
      <c r="K19" s="285"/>
      <c r="L19" s="286"/>
    </row>
    <row r="20" spans="1:12" x14ac:dyDescent="0.3">
      <c r="A20" s="287"/>
      <c r="B20" s="288"/>
      <c r="C20" s="288"/>
      <c r="D20" s="288"/>
      <c r="E20" s="288"/>
      <c r="F20" s="288"/>
      <c r="G20" s="288"/>
      <c r="H20" s="288"/>
      <c r="I20" s="288"/>
      <c r="J20" s="288"/>
      <c r="K20" s="288"/>
      <c r="L20" s="289"/>
    </row>
    <row r="21" spans="1:12" x14ac:dyDescent="0.3">
      <c r="A21" s="287"/>
      <c r="B21" s="288"/>
      <c r="C21" s="288"/>
      <c r="D21" s="288"/>
      <c r="E21" s="288"/>
      <c r="F21" s="288"/>
      <c r="G21" s="288"/>
      <c r="H21" s="288"/>
      <c r="I21" s="288"/>
      <c r="J21" s="288"/>
      <c r="K21" s="288"/>
      <c r="L21" s="289"/>
    </row>
    <row r="22" spans="1:12" x14ac:dyDescent="0.3">
      <c r="A22" s="287"/>
      <c r="B22" s="288"/>
      <c r="C22" s="288"/>
      <c r="D22" s="288"/>
      <c r="E22" s="288"/>
      <c r="F22" s="288"/>
      <c r="G22" s="288"/>
      <c r="H22" s="288"/>
      <c r="I22" s="288"/>
      <c r="J22" s="288"/>
      <c r="K22" s="288"/>
      <c r="L22" s="289"/>
    </row>
    <row r="23" spans="1:12" x14ac:dyDescent="0.3">
      <c r="A23" s="287"/>
      <c r="B23" s="288"/>
      <c r="C23" s="288"/>
      <c r="D23" s="288"/>
      <c r="E23" s="288"/>
      <c r="F23" s="288"/>
      <c r="G23" s="288"/>
      <c r="H23" s="288"/>
      <c r="I23" s="288"/>
      <c r="J23" s="288"/>
      <c r="K23" s="288"/>
      <c r="L23" s="289"/>
    </row>
    <row r="24" spans="1:12" x14ac:dyDescent="0.3">
      <c r="A24" s="287"/>
      <c r="B24" s="288"/>
      <c r="C24" s="288"/>
      <c r="D24" s="288"/>
      <c r="E24" s="288"/>
      <c r="F24" s="288"/>
      <c r="G24" s="288"/>
      <c r="H24" s="288"/>
      <c r="I24" s="288"/>
      <c r="J24" s="288"/>
      <c r="K24" s="288"/>
      <c r="L24" s="289"/>
    </row>
    <row r="25" spans="1:12" x14ac:dyDescent="0.3">
      <c r="A25" s="287"/>
      <c r="B25" s="288"/>
      <c r="C25" s="288"/>
      <c r="D25" s="288"/>
      <c r="E25" s="288"/>
      <c r="F25" s="288"/>
      <c r="G25" s="288"/>
      <c r="H25" s="288"/>
      <c r="I25" s="288"/>
      <c r="J25" s="288"/>
      <c r="K25" s="288"/>
      <c r="L25" s="289"/>
    </row>
    <row r="26" spans="1:12" x14ac:dyDescent="0.3">
      <c r="A26" s="287"/>
      <c r="B26" s="288"/>
      <c r="C26" s="288"/>
      <c r="D26" s="288"/>
      <c r="E26" s="288"/>
      <c r="F26" s="288"/>
      <c r="G26" s="288"/>
      <c r="H26" s="288"/>
      <c r="I26" s="288"/>
      <c r="J26" s="288"/>
      <c r="K26" s="288"/>
      <c r="L26" s="289"/>
    </row>
    <row r="27" spans="1:12" x14ac:dyDescent="0.3">
      <c r="A27" s="287"/>
      <c r="B27" s="288"/>
      <c r="C27" s="288"/>
      <c r="D27" s="288"/>
      <c r="E27" s="288"/>
      <c r="F27" s="288"/>
      <c r="G27" s="288"/>
      <c r="H27" s="288"/>
      <c r="I27" s="288"/>
      <c r="J27" s="288"/>
      <c r="K27" s="288"/>
      <c r="L27" s="289"/>
    </row>
    <row r="28" spans="1:12" x14ac:dyDescent="0.3">
      <c r="A28" s="287"/>
      <c r="B28" s="288"/>
      <c r="C28" s="288"/>
      <c r="D28" s="288"/>
      <c r="E28" s="288"/>
      <c r="F28" s="288"/>
      <c r="G28" s="288"/>
      <c r="H28" s="288"/>
      <c r="I28" s="288"/>
      <c r="J28" s="288"/>
      <c r="K28" s="288"/>
      <c r="L28" s="289"/>
    </row>
    <row r="29" spans="1:12" x14ac:dyDescent="0.3">
      <c r="A29" s="287"/>
      <c r="B29" s="288"/>
      <c r="C29" s="288"/>
      <c r="D29" s="288"/>
      <c r="E29" s="288"/>
      <c r="F29" s="288"/>
      <c r="G29" s="288"/>
      <c r="H29" s="288"/>
      <c r="I29" s="288"/>
      <c r="J29" s="288"/>
      <c r="K29" s="288"/>
      <c r="L29" s="289"/>
    </row>
    <row r="30" spans="1:12" x14ac:dyDescent="0.3">
      <c r="A30" s="287"/>
      <c r="B30" s="288"/>
      <c r="C30" s="288"/>
      <c r="D30" s="288"/>
      <c r="E30" s="288"/>
      <c r="F30" s="288"/>
      <c r="G30" s="288"/>
      <c r="H30" s="288"/>
      <c r="I30" s="288"/>
      <c r="J30" s="288"/>
      <c r="K30" s="288"/>
      <c r="L30" s="289"/>
    </row>
    <row r="31" spans="1:12" x14ac:dyDescent="0.3">
      <c r="A31" s="287"/>
      <c r="B31" s="288"/>
      <c r="C31" s="288"/>
      <c r="D31" s="288"/>
      <c r="E31" s="288"/>
      <c r="F31" s="288"/>
      <c r="G31" s="288"/>
      <c r="H31" s="288"/>
      <c r="I31" s="288"/>
      <c r="J31" s="288"/>
      <c r="K31" s="288"/>
      <c r="L31" s="289"/>
    </row>
    <row r="32" spans="1:12" x14ac:dyDescent="0.3">
      <c r="A32" s="287"/>
      <c r="B32" s="288"/>
      <c r="C32" s="288"/>
      <c r="D32" s="288"/>
      <c r="E32" s="288"/>
      <c r="F32" s="288"/>
      <c r="G32" s="288"/>
      <c r="H32" s="288"/>
      <c r="I32" s="288"/>
      <c r="J32" s="288"/>
      <c r="K32" s="288"/>
      <c r="L32" s="289"/>
    </row>
    <row r="33" spans="1:12" x14ac:dyDescent="0.3">
      <c r="A33" s="287"/>
      <c r="B33" s="288"/>
      <c r="C33" s="288"/>
      <c r="D33" s="288"/>
      <c r="E33" s="288"/>
      <c r="F33" s="288"/>
      <c r="G33" s="288"/>
      <c r="H33" s="288"/>
      <c r="I33" s="288"/>
      <c r="J33" s="288"/>
      <c r="K33" s="288"/>
      <c r="L33" s="289"/>
    </row>
    <row r="34" spans="1:12" x14ac:dyDescent="0.3">
      <c r="A34" s="287"/>
      <c r="B34" s="288"/>
      <c r="C34" s="288"/>
      <c r="D34" s="288"/>
      <c r="E34" s="288"/>
      <c r="F34" s="288"/>
      <c r="G34" s="288"/>
      <c r="H34" s="288"/>
      <c r="I34" s="288"/>
      <c r="J34" s="288"/>
      <c r="K34" s="288"/>
      <c r="L34" s="289"/>
    </row>
    <row r="35" spans="1:12" x14ac:dyDescent="0.3">
      <c r="A35" s="287"/>
      <c r="B35" s="288"/>
      <c r="C35" s="288"/>
      <c r="D35" s="288"/>
      <c r="E35" s="288"/>
      <c r="F35" s="288"/>
      <c r="G35" s="288"/>
      <c r="H35" s="288"/>
      <c r="I35" s="288"/>
      <c r="J35" s="288"/>
      <c r="K35" s="288"/>
      <c r="L35" s="289"/>
    </row>
    <row r="36" spans="1:12" x14ac:dyDescent="0.3">
      <c r="A36" s="287"/>
      <c r="B36" s="288"/>
      <c r="C36" s="288"/>
      <c r="D36" s="288"/>
      <c r="E36" s="288"/>
      <c r="F36" s="288"/>
      <c r="G36" s="288"/>
      <c r="H36" s="288"/>
      <c r="I36" s="288"/>
      <c r="J36" s="288"/>
      <c r="K36" s="288"/>
      <c r="L36" s="289"/>
    </row>
    <row r="37" spans="1:12" x14ac:dyDescent="0.3">
      <c r="A37" s="287"/>
      <c r="B37" s="288"/>
      <c r="C37" s="288"/>
      <c r="D37" s="288"/>
      <c r="E37" s="288"/>
      <c r="F37" s="288"/>
      <c r="G37" s="288"/>
      <c r="H37" s="288"/>
      <c r="I37" s="288"/>
      <c r="J37" s="288"/>
      <c r="K37" s="288"/>
      <c r="L37" s="289"/>
    </row>
    <row r="38" spans="1:12" x14ac:dyDescent="0.3">
      <c r="A38" s="287"/>
      <c r="B38" s="288"/>
      <c r="C38" s="288"/>
      <c r="D38" s="288"/>
      <c r="E38" s="288"/>
      <c r="F38" s="288"/>
      <c r="G38" s="288"/>
      <c r="H38" s="288"/>
      <c r="I38" s="288"/>
      <c r="J38" s="288"/>
      <c r="K38" s="288"/>
      <c r="L38" s="289"/>
    </row>
    <row r="39" spans="1:12" x14ac:dyDescent="0.3">
      <c r="A39" s="287"/>
      <c r="B39" s="288"/>
      <c r="C39" s="288"/>
      <c r="D39" s="288"/>
      <c r="E39" s="288"/>
      <c r="F39" s="288"/>
      <c r="G39" s="288"/>
      <c r="H39" s="288"/>
      <c r="I39" s="288"/>
      <c r="J39" s="288"/>
      <c r="K39" s="288"/>
      <c r="L39" s="289"/>
    </row>
    <row r="40" spans="1:12" x14ac:dyDescent="0.3">
      <c r="A40" s="287"/>
      <c r="B40" s="288"/>
      <c r="C40" s="288"/>
      <c r="D40" s="288"/>
      <c r="E40" s="288"/>
      <c r="F40" s="288"/>
      <c r="G40" s="288"/>
      <c r="H40" s="288"/>
      <c r="I40" s="288"/>
      <c r="J40" s="288"/>
      <c r="K40" s="288"/>
      <c r="L40" s="289"/>
    </row>
    <row r="41" spans="1:12" x14ac:dyDescent="0.3">
      <c r="A41" s="287"/>
      <c r="B41" s="288"/>
      <c r="C41" s="288"/>
      <c r="D41" s="288"/>
      <c r="E41" s="288"/>
      <c r="F41" s="288"/>
      <c r="G41" s="288"/>
      <c r="H41" s="288"/>
      <c r="I41" s="288"/>
      <c r="J41" s="288"/>
      <c r="K41" s="288"/>
      <c r="L41" s="289"/>
    </row>
    <row r="42" spans="1:12" ht="13.5" customHeight="1" x14ac:dyDescent="0.3">
      <c r="A42" s="287"/>
      <c r="B42" s="288"/>
      <c r="C42" s="288"/>
      <c r="D42" s="288"/>
      <c r="E42" s="288"/>
      <c r="F42" s="288"/>
      <c r="G42" s="288"/>
      <c r="H42" s="288"/>
      <c r="I42" s="288"/>
      <c r="J42" s="288"/>
      <c r="K42" s="288"/>
      <c r="L42" s="289"/>
    </row>
    <row r="43" spans="1:12" ht="13.5" customHeight="1" x14ac:dyDescent="0.3">
      <c r="A43" s="287"/>
      <c r="B43" s="288"/>
      <c r="C43" s="288"/>
      <c r="D43" s="288"/>
      <c r="E43" s="288"/>
      <c r="F43" s="288"/>
      <c r="G43" s="288"/>
      <c r="H43" s="288"/>
      <c r="I43" s="288"/>
      <c r="J43" s="288"/>
      <c r="K43" s="288"/>
      <c r="L43" s="289"/>
    </row>
    <row r="44" spans="1:12" ht="13.5" customHeight="1" x14ac:dyDescent="0.3">
      <c r="A44" s="287"/>
      <c r="B44" s="288"/>
      <c r="C44" s="288"/>
      <c r="D44" s="288"/>
      <c r="E44" s="288"/>
      <c r="F44" s="288"/>
      <c r="G44" s="288"/>
      <c r="H44" s="288"/>
      <c r="I44" s="288"/>
      <c r="J44" s="288"/>
      <c r="K44" s="288"/>
      <c r="L44" s="289"/>
    </row>
    <row r="45" spans="1:12" ht="13.5" customHeight="1" thickBot="1" x14ac:dyDescent="0.35">
      <c r="A45" s="339"/>
      <c r="B45" s="340"/>
      <c r="C45" s="340"/>
      <c r="D45" s="340"/>
      <c r="E45" s="340"/>
      <c r="F45" s="340"/>
      <c r="G45" s="340"/>
      <c r="H45" s="340"/>
      <c r="I45" s="340"/>
      <c r="J45" s="340"/>
      <c r="K45" s="340"/>
      <c r="L45" s="341"/>
    </row>
  </sheetData>
  <mergeCells count="4">
    <mergeCell ref="A1:L1"/>
    <mergeCell ref="A2:L2"/>
    <mergeCell ref="B3:H3"/>
    <mergeCell ref="A19:L4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K77"/>
  <sheetViews>
    <sheetView workbookViewId="0">
      <selection activeCell="A2" sqref="A2"/>
    </sheetView>
  </sheetViews>
  <sheetFormatPr defaultRowHeight="14.4" x14ac:dyDescent="0.3"/>
  <cols>
    <col min="1" max="1" width="18.5546875" bestFit="1" customWidth="1"/>
  </cols>
  <sheetData>
    <row r="1" spans="1:11" ht="15" thickBot="1" x14ac:dyDescent="0.35">
      <c r="A1" s="346" t="s">
        <v>309</v>
      </c>
      <c r="B1" s="347"/>
      <c r="C1" s="347"/>
      <c r="D1" s="347"/>
      <c r="E1" s="347"/>
      <c r="F1" s="347"/>
      <c r="G1" s="347"/>
      <c r="H1" s="347"/>
      <c r="I1" s="347"/>
      <c r="J1" s="347"/>
      <c r="K1" s="348"/>
    </row>
    <row r="2" spans="1:11" x14ac:dyDescent="0.3">
      <c r="A2" s="225">
        <v>44967</v>
      </c>
      <c r="B2" s="349" t="s">
        <v>310</v>
      </c>
      <c r="C2" s="349"/>
      <c r="D2" s="349"/>
      <c r="E2" s="349"/>
      <c r="F2" s="349"/>
      <c r="G2" s="349"/>
      <c r="H2" s="349"/>
      <c r="I2" s="349"/>
      <c r="J2" s="349"/>
      <c r="K2" s="350"/>
    </row>
    <row r="3" spans="1:11" x14ac:dyDescent="0.3">
      <c r="A3" s="226">
        <v>44967</v>
      </c>
      <c r="B3" s="342" t="s">
        <v>311</v>
      </c>
      <c r="C3" s="342"/>
      <c r="D3" s="342"/>
      <c r="E3" s="342"/>
      <c r="F3" s="342"/>
      <c r="G3" s="342"/>
      <c r="H3" s="342"/>
      <c r="I3" s="342"/>
      <c r="J3" s="342"/>
      <c r="K3" s="343"/>
    </row>
    <row r="4" spans="1:11" x14ac:dyDescent="0.3">
      <c r="A4" s="226">
        <v>44967</v>
      </c>
      <c r="B4" s="342" t="s">
        <v>313</v>
      </c>
      <c r="C4" s="342"/>
      <c r="D4" s="342"/>
      <c r="E4" s="342"/>
      <c r="F4" s="342"/>
      <c r="G4" s="342"/>
      <c r="H4" s="342"/>
      <c r="I4" s="342"/>
      <c r="J4" s="342"/>
      <c r="K4" s="343"/>
    </row>
    <row r="5" spans="1:11" x14ac:dyDescent="0.3">
      <c r="A5" s="226">
        <v>44967</v>
      </c>
      <c r="B5" s="342" t="s">
        <v>315</v>
      </c>
      <c r="C5" s="342"/>
      <c r="D5" s="342"/>
      <c r="E5" s="342"/>
      <c r="F5" s="342"/>
      <c r="G5" s="342"/>
      <c r="H5" s="342"/>
      <c r="I5" s="342"/>
      <c r="J5" s="342"/>
      <c r="K5" s="343"/>
    </row>
    <row r="6" spans="1:11" x14ac:dyDescent="0.3">
      <c r="A6" s="226">
        <v>45183</v>
      </c>
      <c r="B6" s="342" t="s">
        <v>319</v>
      </c>
      <c r="C6" s="342"/>
      <c r="D6" s="342"/>
      <c r="E6" s="342"/>
      <c r="F6" s="342"/>
      <c r="G6" s="342"/>
      <c r="H6" s="342"/>
      <c r="I6" s="342"/>
      <c r="J6" s="342"/>
      <c r="K6" s="343"/>
    </row>
    <row r="7" spans="1:11" x14ac:dyDescent="0.3">
      <c r="A7" s="226">
        <v>45183</v>
      </c>
      <c r="B7" s="342" t="s">
        <v>326</v>
      </c>
      <c r="C7" s="342"/>
      <c r="D7" s="342"/>
      <c r="E7" s="342"/>
      <c r="F7" s="342"/>
      <c r="G7" s="342"/>
      <c r="H7" s="342"/>
      <c r="I7" s="342"/>
      <c r="J7" s="342"/>
      <c r="K7" s="343"/>
    </row>
    <row r="8" spans="1:11" x14ac:dyDescent="0.3">
      <c r="A8" s="226"/>
      <c r="B8" s="342"/>
      <c r="C8" s="342"/>
      <c r="D8" s="342"/>
      <c r="E8" s="342"/>
      <c r="F8" s="342"/>
      <c r="G8" s="342"/>
      <c r="H8" s="342"/>
      <c r="I8" s="342"/>
      <c r="J8" s="342"/>
      <c r="K8" s="343"/>
    </row>
    <row r="9" spans="1:11" x14ac:dyDescent="0.3">
      <c r="A9" s="226"/>
      <c r="B9" s="342"/>
      <c r="C9" s="342"/>
      <c r="D9" s="342"/>
      <c r="E9" s="342"/>
      <c r="F9" s="342"/>
      <c r="G9" s="342"/>
      <c r="H9" s="342"/>
      <c r="I9" s="342"/>
      <c r="J9" s="342"/>
      <c r="K9" s="343"/>
    </row>
    <row r="10" spans="1:11" x14ac:dyDescent="0.3">
      <c r="A10" s="226"/>
      <c r="B10" s="342"/>
      <c r="C10" s="342"/>
      <c r="D10" s="342"/>
      <c r="E10" s="342"/>
      <c r="F10" s="342"/>
      <c r="G10" s="342"/>
      <c r="H10" s="342"/>
      <c r="I10" s="342"/>
      <c r="J10" s="342"/>
      <c r="K10" s="343"/>
    </row>
    <row r="11" spans="1:11" x14ac:dyDescent="0.3">
      <c r="A11" s="226"/>
      <c r="B11" s="342"/>
      <c r="C11" s="342"/>
      <c r="D11" s="342"/>
      <c r="E11" s="342"/>
      <c r="F11" s="342"/>
      <c r="G11" s="342"/>
      <c r="H11" s="342"/>
      <c r="I11" s="342"/>
      <c r="J11" s="342"/>
      <c r="K11" s="343"/>
    </row>
    <row r="12" spans="1:11" x14ac:dyDescent="0.3">
      <c r="A12" s="226"/>
      <c r="B12" s="342"/>
      <c r="C12" s="342"/>
      <c r="D12" s="342"/>
      <c r="E12" s="342"/>
      <c r="F12" s="342"/>
      <c r="G12" s="342"/>
      <c r="H12" s="342"/>
      <c r="I12" s="342"/>
      <c r="J12" s="342"/>
      <c r="K12" s="343"/>
    </row>
    <row r="13" spans="1:11" x14ac:dyDescent="0.3">
      <c r="A13" s="226"/>
      <c r="B13" s="342"/>
      <c r="C13" s="342"/>
      <c r="D13" s="342"/>
      <c r="E13" s="342"/>
      <c r="F13" s="342"/>
      <c r="G13" s="342"/>
      <c r="H13" s="342"/>
      <c r="I13" s="342"/>
      <c r="J13" s="342"/>
      <c r="K13" s="343"/>
    </row>
    <row r="14" spans="1:11" x14ac:dyDescent="0.3">
      <c r="A14" s="226"/>
      <c r="B14" s="342"/>
      <c r="C14" s="342"/>
      <c r="D14" s="342"/>
      <c r="E14" s="342"/>
      <c r="F14" s="342"/>
      <c r="G14" s="342"/>
      <c r="H14" s="342"/>
      <c r="I14" s="342"/>
      <c r="J14" s="342"/>
      <c r="K14" s="343"/>
    </row>
    <row r="15" spans="1:11" x14ac:dyDescent="0.3">
      <c r="A15" s="226"/>
      <c r="B15" s="342"/>
      <c r="C15" s="342"/>
      <c r="D15" s="342"/>
      <c r="E15" s="342"/>
      <c r="F15" s="342"/>
      <c r="G15" s="342"/>
      <c r="H15" s="342"/>
      <c r="I15" s="342"/>
      <c r="J15" s="342"/>
      <c r="K15" s="343"/>
    </row>
    <row r="16" spans="1:11" x14ac:dyDescent="0.3">
      <c r="A16" s="226"/>
      <c r="B16" s="342"/>
      <c r="C16" s="342"/>
      <c r="D16" s="342"/>
      <c r="E16" s="342"/>
      <c r="F16" s="342"/>
      <c r="G16" s="342"/>
      <c r="H16" s="342"/>
      <c r="I16" s="342"/>
      <c r="J16" s="342"/>
      <c r="K16" s="343"/>
    </row>
    <row r="17" spans="1:11" x14ac:dyDescent="0.3">
      <c r="A17" s="226"/>
      <c r="B17" s="342"/>
      <c r="C17" s="342"/>
      <c r="D17" s="342"/>
      <c r="E17" s="342"/>
      <c r="F17" s="342"/>
      <c r="G17" s="342"/>
      <c r="H17" s="342"/>
      <c r="I17" s="342"/>
      <c r="J17" s="342"/>
      <c r="K17" s="343"/>
    </row>
    <row r="18" spans="1:11" x14ac:dyDescent="0.3">
      <c r="A18" s="226"/>
      <c r="B18" s="342"/>
      <c r="C18" s="342"/>
      <c r="D18" s="342"/>
      <c r="E18" s="342"/>
      <c r="F18" s="342"/>
      <c r="G18" s="342"/>
      <c r="H18" s="342"/>
      <c r="I18" s="342"/>
      <c r="J18" s="342"/>
      <c r="K18" s="343"/>
    </row>
    <row r="19" spans="1:11" x14ac:dyDescent="0.3">
      <c r="A19" s="226"/>
      <c r="B19" s="342"/>
      <c r="C19" s="342"/>
      <c r="D19" s="342"/>
      <c r="E19" s="342"/>
      <c r="F19" s="342"/>
      <c r="G19" s="342"/>
      <c r="H19" s="342"/>
      <c r="I19" s="342"/>
      <c r="J19" s="342"/>
      <c r="K19" s="343"/>
    </row>
    <row r="20" spans="1:11" x14ac:dyDescent="0.3">
      <c r="A20" s="226"/>
      <c r="B20" s="342"/>
      <c r="C20" s="342"/>
      <c r="D20" s="342"/>
      <c r="E20" s="342"/>
      <c r="F20" s="342"/>
      <c r="G20" s="342"/>
      <c r="H20" s="342"/>
      <c r="I20" s="342"/>
      <c r="J20" s="342"/>
      <c r="K20" s="343"/>
    </row>
    <row r="21" spans="1:11" x14ac:dyDescent="0.3">
      <c r="A21" s="226"/>
      <c r="B21" s="342"/>
      <c r="C21" s="342"/>
      <c r="D21" s="342"/>
      <c r="E21" s="342"/>
      <c r="F21" s="342"/>
      <c r="G21" s="342"/>
      <c r="H21" s="342"/>
      <c r="I21" s="342"/>
      <c r="J21" s="342"/>
      <c r="K21" s="343"/>
    </row>
    <row r="22" spans="1:11" x14ac:dyDescent="0.3">
      <c r="A22" s="226"/>
      <c r="B22" s="342"/>
      <c r="C22" s="342"/>
      <c r="D22" s="342"/>
      <c r="E22" s="342"/>
      <c r="F22" s="342"/>
      <c r="G22" s="342"/>
      <c r="H22" s="342"/>
      <c r="I22" s="342"/>
      <c r="J22" s="342"/>
      <c r="K22" s="343"/>
    </row>
    <row r="23" spans="1:11" x14ac:dyDescent="0.3">
      <c r="A23" s="226"/>
      <c r="B23" s="342"/>
      <c r="C23" s="342"/>
      <c r="D23" s="342"/>
      <c r="E23" s="342"/>
      <c r="F23" s="342"/>
      <c r="G23" s="342"/>
      <c r="H23" s="342"/>
      <c r="I23" s="342"/>
      <c r="J23" s="342"/>
      <c r="K23" s="343"/>
    </row>
    <row r="24" spans="1:11" x14ac:dyDescent="0.3">
      <c r="A24" s="226"/>
      <c r="B24" s="342"/>
      <c r="C24" s="342"/>
      <c r="D24" s="342"/>
      <c r="E24" s="342"/>
      <c r="F24" s="342"/>
      <c r="G24" s="342"/>
      <c r="H24" s="342"/>
      <c r="I24" s="342"/>
      <c r="J24" s="342"/>
      <c r="K24" s="343"/>
    </row>
    <row r="25" spans="1:11" x14ac:dyDescent="0.3">
      <c r="A25" s="226"/>
      <c r="B25" s="342"/>
      <c r="C25" s="342"/>
      <c r="D25" s="342"/>
      <c r="E25" s="342"/>
      <c r="F25" s="342"/>
      <c r="G25" s="342"/>
      <c r="H25" s="342"/>
      <c r="I25" s="342"/>
      <c r="J25" s="342"/>
      <c r="K25" s="343"/>
    </row>
    <row r="26" spans="1:11" x14ac:dyDescent="0.3">
      <c r="A26" s="226"/>
      <c r="B26" s="342"/>
      <c r="C26" s="342"/>
      <c r="D26" s="342"/>
      <c r="E26" s="342"/>
      <c r="F26" s="342"/>
      <c r="G26" s="342"/>
      <c r="H26" s="342"/>
      <c r="I26" s="342"/>
      <c r="J26" s="342"/>
      <c r="K26" s="343"/>
    </row>
    <row r="27" spans="1:11" x14ac:dyDescent="0.3">
      <c r="A27" s="226"/>
      <c r="B27" s="342"/>
      <c r="C27" s="342"/>
      <c r="D27" s="342"/>
      <c r="E27" s="342"/>
      <c r="F27" s="342"/>
      <c r="G27" s="342"/>
      <c r="H27" s="342"/>
      <c r="I27" s="342"/>
      <c r="J27" s="342"/>
      <c r="K27" s="343"/>
    </row>
    <row r="28" spans="1:11" x14ac:dyDescent="0.3">
      <c r="A28" s="226"/>
      <c r="B28" s="342"/>
      <c r="C28" s="342"/>
      <c r="D28" s="342"/>
      <c r="E28" s="342"/>
      <c r="F28" s="342"/>
      <c r="G28" s="342"/>
      <c r="H28" s="342"/>
      <c r="I28" s="342"/>
      <c r="J28" s="342"/>
      <c r="K28" s="343"/>
    </row>
    <row r="29" spans="1:11" x14ac:dyDescent="0.3">
      <c r="A29" s="226"/>
      <c r="B29" s="342"/>
      <c r="C29" s="342"/>
      <c r="D29" s="342"/>
      <c r="E29" s="342"/>
      <c r="F29" s="342"/>
      <c r="G29" s="342"/>
      <c r="H29" s="342"/>
      <c r="I29" s="342"/>
      <c r="J29" s="342"/>
      <c r="K29" s="343"/>
    </row>
    <row r="30" spans="1:11" x14ac:dyDescent="0.3">
      <c r="A30" s="226"/>
      <c r="B30" s="342"/>
      <c r="C30" s="342"/>
      <c r="D30" s="342"/>
      <c r="E30" s="342"/>
      <c r="F30" s="342"/>
      <c r="G30" s="342"/>
      <c r="H30" s="342"/>
      <c r="I30" s="342"/>
      <c r="J30" s="342"/>
      <c r="K30" s="343"/>
    </row>
    <row r="31" spans="1:11" x14ac:dyDescent="0.3">
      <c r="A31" s="226"/>
      <c r="B31" s="342"/>
      <c r="C31" s="342"/>
      <c r="D31" s="342"/>
      <c r="E31" s="342"/>
      <c r="F31" s="342"/>
      <c r="G31" s="342"/>
      <c r="H31" s="342"/>
      <c r="I31" s="342"/>
      <c r="J31" s="342"/>
      <c r="K31" s="343"/>
    </row>
    <row r="32" spans="1:11" x14ac:dyDescent="0.3">
      <c r="A32" s="226"/>
      <c r="B32" s="342"/>
      <c r="C32" s="342"/>
      <c r="D32" s="342"/>
      <c r="E32" s="342"/>
      <c r="F32" s="342"/>
      <c r="G32" s="342"/>
      <c r="H32" s="342"/>
      <c r="I32" s="342"/>
      <c r="J32" s="342"/>
      <c r="K32" s="343"/>
    </row>
    <row r="33" spans="1:11" x14ac:dyDescent="0.3">
      <c r="A33" s="226"/>
      <c r="B33" s="342"/>
      <c r="C33" s="342"/>
      <c r="D33" s="342"/>
      <c r="E33" s="342"/>
      <c r="F33" s="342"/>
      <c r="G33" s="342"/>
      <c r="H33" s="342"/>
      <c r="I33" s="342"/>
      <c r="J33" s="342"/>
      <c r="K33" s="343"/>
    </row>
    <row r="34" spans="1:11" x14ac:dyDescent="0.3">
      <c r="A34" s="226"/>
      <c r="B34" s="342"/>
      <c r="C34" s="342"/>
      <c r="D34" s="342"/>
      <c r="E34" s="342"/>
      <c r="F34" s="342"/>
      <c r="G34" s="342"/>
      <c r="H34" s="342"/>
      <c r="I34" s="342"/>
      <c r="J34" s="342"/>
      <c r="K34" s="343"/>
    </row>
    <row r="35" spans="1:11" x14ac:dyDescent="0.3">
      <c r="A35" s="226"/>
      <c r="B35" s="342"/>
      <c r="C35" s="342"/>
      <c r="D35" s="342"/>
      <c r="E35" s="342"/>
      <c r="F35" s="342"/>
      <c r="G35" s="342"/>
      <c r="H35" s="342"/>
      <c r="I35" s="342"/>
      <c r="J35" s="342"/>
      <c r="K35" s="343"/>
    </row>
    <row r="36" spans="1:11" x14ac:dyDescent="0.3">
      <c r="A36" s="226"/>
      <c r="B36" s="342"/>
      <c r="C36" s="342"/>
      <c r="D36" s="342"/>
      <c r="E36" s="342"/>
      <c r="F36" s="342"/>
      <c r="G36" s="342"/>
      <c r="H36" s="342"/>
      <c r="I36" s="342"/>
      <c r="J36" s="342"/>
      <c r="K36" s="343"/>
    </row>
    <row r="37" spans="1:11" x14ac:dyDescent="0.3">
      <c r="A37" s="226"/>
      <c r="B37" s="342"/>
      <c r="C37" s="342"/>
      <c r="D37" s="342"/>
      <c r="E37" s="342"/>
      <c r="F37" s="342"/>
      <c r="G37" s="342"/>
      <c r="H37" s="342"/>
      <c r="I37" s="342"/>
      <c r="J37" s="342"/>
      <c r="K37" s="343"/>
    </row>
    <row r="38" spans="1:11" x14ac:dyDescent="0.3">
      <c r="A38" s="226"/>
      <c r="B38" s="342"/>
      <c r="C38" s="342"/>
      <c r="D38" s="342"/>
      <c r="E38" s="342"/>
      <c r="F38" s="342"/>
      <c r="G38" s="342"/>
      <c r="H38" s="342"/>
      <c r="I38" s="342"/>
      <c r="J38" s="342"/>
      <c r="K38" s="343"/>
    </row>
    <row r="39" spans="1:11" x14ac:dyDescent="0.3">
      <c r="A39" s="226"/>
      <c r="B39" s="342"/>
      <c r="C39" s="342"/>
      <c r="D39" s="342"/>
      <c r="E39" s="342"/>
      <c r="F39" s="342"/>
      <c r="G39" s="342"/>
      <c r="H39" s="342"/>
      <c r="I39" s="342"/>
      <c r="J39" s="342"/>
      <c r="K39" s="343"/>
    </row>
    <row r="40" spans="1:11" x14ac:dyDescent="0.3">
      <c r="A40" s="226"/>
      <c r="B40" s="342"/>
      <c r="C40" s="342"/>
      <c r="D40" s="342"/>
      <c r="E40" s="342"/>
      <c r="F40" s="342"/>
      <c r="G40" s="342"/>
      <c r="H40" s="342"/>
      <c r="I40" s="342"/>
      <c r="J40" s="342"/>
      <c r="K40" s="343"/>
    </row>
    <row r="41" spans="1:11" x14ac:dyDescent="0.3">
      <c r="A41" s="226"/>
      <c r="B41" s="342"/>
      <c r="C41" s="342"/>
      <c r="D41" s="342"/>
      <c r="E41" s="342"/>
      <c r="F41" s="342"/>
      <c r="G41" s="342"/>
      <c r="H41" s="342"/>
      <c r="I41" s="342"/>
      <c r="J41" s="342"/>
      <c r="K41" s="343"/>
    </row>
    <row r="42" spans="1:11" x14ac:dyDescent="0.3">
      <c r="A42" s="226"/>
      <c r="B42" s="342"/>
      <c r="C42" s="342"/>
      <c r="D42" s="342"/>
      <c r="E42" s="342"/>
      <c r="F42" s="342"/>
      <c r="G42" s="342"/>
      <c r="H42" s="342"/>
      <c r="I42" s="342"/>
      <c r="J42" s="342"/>
      <c r="K42" s="343"/>
    </row>
    <row r="43" spans="1:11" x14ac:dyDescent="0.3">
      <c r="A43" s="226"/>
      <c r="B43" s="342"/>
      <c r="C43" s="342"/>
      <c r="D43" s="342"/>
      <c r="E43" s="342"/>
      <c r="F43" s="342"/>
      <c r="G43" s="342"/>
      <c r="H43" s="342"/>
      <c r="I43" s="342"/>
      <c r="J43" s="342"/>
      <c r="K43" s="343"/>
    </row>
    <row r="44" spans="1:11" x14ac:dyDescent="0.3">
      <c r="A44" s="226"/>
      <c r="B44" s="342"/>
      <c r="C44" s="342"/>
      <c r="D44" s="342"/>
      <c r="E44" s="342"/>
      <c r="F44" s="342"/>
      <c r="G44" s="342"/>
      <c r="H44" s="342"/>
      <c r="I44" s="342"/>
      <c r="J44" s="342"/>
      <c r="K44" s="343"/>
    </row>
    <row r="45" spans="1:11" x14ac:dyDescent="0.3">
      <c r="A45" s="226"/>
      <c r="B45" s="342"/>
      <c r="C45" s="342"/>
      <c r="D45" s="342"/>
      <c r="E45" s="342"/>
      <c r="F45" s="342"/>
      <c r="G45" s="342"/>
      <c r="H45" s="342"/>
      <c r="I45" s="342"/>
      <c r="J45" s="342"/>
      <c r="K45" s="343"/>
    </row>
    <row r="46" spans="1:11" x14ac:dyDescent="0.3">
      <c r="A46" s="226"/>
      <c r="B46" s="342"/>
      <c r="C46" s="342"/>
      <c r="D46" s="342"/>
      <c r="E46" s="342"/>
      <c r="F46" s="342"/>
      <c r="G46" s="342"/>
      <c r="H46" s="342"/>
      <c r="I46" s="342"/>
      <c r="J46" s="342"/>
      <c r="K46" s="343"/>
    </row>
    <row r="47" spans="1:11" x14ac:dyDescent="0.3">
      <c r="A47" s="226"/>
      <c r="B47" s="342"/>
      <c r="C47" s="342"/>
      <c r="D47" s="342"/>
      <c r="E47" s="342"/>
      <c r="F47" s="342"/>
      <c r="G47" s="342"/>
      <c r="H47" s="342"/>
      <c r="I47" s="342"/>
      <c r="J47" s="342"/>
      <c r="K47" s="343"/>
    </row>
    <row r="48" spans="1:11" x14ac:dyDescent="0.3">
      <c r="A48" s="226"/>
      <c r="B48" s="342"/>
      <c r="C48" s="342"/>
      <c r="D48" s="342"/>
      <c r="E48" s="342"/>
      <c r="F48" s="342"/>
      <c r="G48" s="342"/>
      <c r="H48" s="342"/>
      <c r="I48" s="342"/>
      <c r="J48" s="342"/>
      <c r="K48" s="343"/>
    </row>
    <row r="49" spans="1:11" x14ac:dyDescent="0.3">
      <c r="A49" s="226"/>
      <c r="B49" s="342"/>
      <c r="C49" s="342"/>
      <c r="D49" s="342"/>
      <c r="E49" s="342"/>
      <c r="F49" s="342"/>
      <c r="G49" s="342"/>
      <c r="H49" s="342"/>
      <c r="I49" s="342"/>
      <c r="J49" s="342"/>
      <c r="K49" s="343"/>
    </row>
    <row r="50" spans="1:11" x14ac:dyDescent="0.3">
      <c r="A50" s="226"/>
      <c r="B50" s="342"/>
      <c r="C50" s="342"/>
      <c r="D50" s="342"/>
      <c r="E50" s="342"/>
      <c r="F50" s="342"/>
      <c r="G50" s="342"/>
      <c r="H50" s="342"/>
      <c r="I50" s="342"/>
      <c r="J50" s="342"/>
      <c r="K50" s="343"/>
    </row>
    <row r="51" spans="1:11" x14ac:dyDescent="0.3">
      <c r="A51" s="226"/>
      <c r="B51" s="342"/>
      <c r="C51" s="342"/>
      <c r="D51" s="342"/>
      <c r="E51" s="342"/>
      <c r="F51" s="342"/>
      <c r="G51" s="342"/>
      <c r="H51" s="342"/>
      <c r="I51" s="342"/>
      <c r="J51" s="342"/>
      <c r="K51" s="343"/>
    </row>
    <row r="52" spans="1:11" x14ac:dyDescent="0.3">
      <c r="A52" s="226"/>
      <c r="B52" s="342"/>
      <c r="C52" s="342"/>
      <c r="D52" s="342"/>
      <c r="E52" s="342"/>
      <c r="F52" s="342"/>
      <c r="G52" s="342"/>
      <c r="H52" s="342"/>
      <c r="I52" s="342"/>
      <c r="J52" s="342"/>
      <c r="K52" s="343"/>
    </row>
    <row r="53" spans="1:11" x14ac:dyDescent="0.3">
      <c r="A53" s="226"/>
      <c r="B53" s="342"/>
      <c r="C53" s="342"/>
      <c r="D53" s="342"/>
      <c r="E53" s="342"/>
      <c r="F53" s="342"/>
      <c r="G53" s="342"/>
      <c r="H53" s="342"/>
      <c r="I53" s="342"/>
      <c r="J53" s="342"/>
      <c r="K53" s="343"/>
    </row>
    <row r="54" spans="1:11" x14ac:dyDescent="0.3">
      <c r="A54" s="226"/>
      <c r="B54" s="342"/>
      <c r="C54" s="342"/>
      <c r="D54" s="342"/>
      <c r="E54" s="342"/>
      <c r="F54" s="342"/>
      <c r="G54" s="342"/>
      <c r="H54" s="342"/>
      <c r="I54" s="342"/>
      <c r="J54" s="342"/>
      <c r="K54" s="343"/>
    </row>
    <row r="55" spans="1:11" x14ac:dyDescent="0.3">
      <c r="A55" s="226"/>
      <c r="B55" s="342"/>
      <c r="C55" s="342"/>
      <c r="D55" s="342"/>
      <c r="E55" s="342"/>
      <c r="F55" s="342"/>
      <c r="G55" s="342"/>
      <c r="H55" s="342"/>
      <c r="I55" s="342"/>
      <c r="J55" s="342"/>
      <c r="K55" s="343"/>
    </row>
    <row r="56" spans="1:11" x14ac:dyDescent="0.3">
      <c r="A56" s="226"/>
      <c r="B56" s="342"/>
      <c r="C56" s="342"/>
      <c r="D56" s="342"/>
      <c r="E56" s="342"/>
      <c r="F56" s="342"/>
      <c r="G56" s="342"/>
      <c r="H56" s="342"/>
      <c r="I56" s="342"/>
      <c r="J56" s="342"/>
      <c r="K56" s="343"/>
    </row>
    <row r="57" spans="1:11" x14ac:dyDescent="0.3">
      <c r="A57" s="226"/>
      <c r="B57" s="342"/>
      <c r="C57" s="342"/>
      <c r="D57" s="342"/>
      <c r="E57" s="342"/>
      <c r="F57" s="342"/>
      <c r="G57" s="342"/>
      <c r="H57" s="342"/>
      <c r="I57" s="342"/>
      <c r="J57" s="342"/>
      <c r="K57" s="343"/>
    </row>
    <row r="58" spans="1:11" x14ac:dyDescent="0.3">
      <c r="A58" s="226"/>
      <c r="B58" s="342"/>
      <c r="C58" s="342"/>
      <c r="D58" s="342"/>
      <c r="E58" s="342"/>
      <c r="F58" s="342"/>
      <c r="G58" s="342"/>
      <c r="H58" s="342"/>
      <c r="I58" s="342"/>
      <c r="J58" s="342"/>
      <c r="K58" s="343"/>
    </row>
    <row r="59" spans="1:11" x14ac:dyDescent="0.3">
      <c r="A59" s="226"/>
      <c r="B59" s="342"/>
      <c r="C59" s="342"/>
      <c r="D59" s="342"/>
      <c r="E59" s="342"/>
      <c r="F59" s="342"/>
      <c r="G59" s="342"/>
      <c r="H59" s="342"/>
      <c r="I59" s="342"/>
      <c r="J59" s="342"/>
      <c r="K59" s="343"/>
    </row>
    <row r="60" spans="1:11" x14ac:dyDescent="0.3">
      <c r="A60" s="226"/>
      <c r="B60" s="342"/>
      <c r="C60" s="342"/>
      <c r="D60" s="342"/>
      <c r="E60" s="342"/>
      <c r="F60" s="342"/>
      <c r="G60" s="342"/>
      <c r="H60" s="342"/>
      <c r="I60" s="342"/>
      <c r="J60" s="342"/>
      <c r="K60" s="343"/>
    </row>
    <row r="61" spans="1:11" x14ac:dyDescent="0.3">
      <c r="A61" s="226"/>
      <c r="B61" s="342"/>
      <c r="C61" s="342"/>
      <c r="D61" s="342"/>
      <c r="E61" s="342"/>
      <c r="F61" s="342"/>
      <c r="G61" s="342"/>
      <c r="H61" s="342"/>
      <c r="I61" s="342"/>
      <c r="J61" s="342"/>
      <c r="K61" s="343"/>
    </row>
    <row r="62" spans="1:11" x14ac:dyDescent="0.3">
      <c r="A62" s="226"/>
      <c r="B62" s="342"/>
      <c r="C62" s="342"/>
      <c r="D62" s="342"/>
      <c r="E62" s="342"/>
      <c r="F62" s="342"/>
      <c r="G62" s="342"/>
      <c r="H62" s="342"/>
      <c r="I62" s="342"/>
      <c r="J62" s="342"/>
      <c r="K62" s="343"/>
    </row>
    <row r="63" spans="1:11" x14ac:dyDescent="0.3">
      <c r="A63" s="226"/>
      <c r="B63" s="342"/>
      <c r="C63" s="342"/>
      <c r="D63" s="342"/>
      <c r="E63" s="342"/>
      <c r="F63" s="342"/>
      <c r="G63" s="342"/>
      <c r="H63" s="342"/>
      <c r="I63" s="342"/>
      <c r="J63" s="342"/>
      <c r="K63" s="343"/>
    </row>
    <row r="64" spans="1:11" x14ac:dyDescent="0.3">
      <c r="A64" s="226"/>
      <c r="B64" s="342"/>
      <c r="C64" s="342"/>
      <c r="D64" s="342"/>
      <c r="E64" s="342"/>
      <c r="F64" s="342"/>
      <c r="G64" s="342"/>
      <c r="H64" s="342"/>
      <c r="I64" s="342"/>
      <c r="J64" s="342"/>
      <c r="K64" s="343"/>
    </row>
    <row r="65" spans="1:11" x14ac:dyDescent="0.3">
      <c r="A65" s="226"/>
      <c r="B65" s="342"/>
      <c r="C65" s="342"/>
      <c r="D65" s="342"/>
      <c r="E65" s="342"/>
      <c r="F65" s="342"/>
      <c r="G65" s="342"/>
      <c r="H65" s="342"/>
      <c r="I65" s="342"/>
      <c r="J65" s="342"/>
      <c r="K65" s="343"/>
    </row>
    <row r="66" spans="1:11" x14ac:dyDescent="0.3">
      <c r="A66" s="226"/>
      <c r="B66" s="342"/>
      <c r="C66" s="342"/>
      <c r="D66" s="342"/>
      <c r="E66" s="342"/>
      <c r="F66" s="342"/>
      <c r="G66" s="342"/>
      <c r="H66" s="342"/>
      <c r="I66" s="342"/>
      <c r="J66" s="342"/>
      <c r="K66" s="343"/>
    </row>
    <row r="67" spans="1:11" x14ac:dyDescent="0.3">
      <c r="A67" s="226"/>
      <c r="B67" s="342"/>
      <c r="C67" s="342"/>
      <c r="D67" s="342"/>
      <c r="E67" s="342"/>
      <c r="F67" s="342"/>
      <c r="G67" s="342"/>
      <c r="H67" s="342"/>
      <c r="I67" s="342"/>
      <c r="J67" s="342"/>
      <c r="K67" s="343"/>
    </row>
    <row r="68" spans="1:11" x14ac:dyDescent="0.3">
      <c r="A68" s="226"/>
      <c r="B68" s="342"/>
      <c r="C68" s="342"/>
      <c r="D68" s="342"/>
      <c r="E68" s="342"/>
      <c r="F68" s="342"/>
      <c r="G68" s="342"/>
      <c r="H68" s="342"/>
      <c r="I68" s="342"/>
      <c r="J68" s="342"/>
      <c r="K68" s="343"/>
    </row>
    <row r="69" spans="1:11" x14ac:dyDescent="0.3">
      <c r="A69" s="226"/>
      <c r="B69" s="342"/>
      <c r="C69" s="342"/>
      <c r="D69" s="342"/>
      <c r="E69" s="342"/>
      <c r="F69" s="342"/>
      <c r="G69" s="342"/>
      <c r="H69" s="342"/>
      <c r="I69" s="342"/>
      <c r="J69" s="342"/>
      <c r="K69" s="343"/>
    </row>
    <row r="70" spans="1:11" x14ac:dyDescent="0.3">
      <c r="A70" s="226"/>
      <c r="B70" s="342"/>
      <c r="C70" s="342"/>
      <c r="D70" s="342"/>
      <c r="E70" s="342"/>
      <c r="F70" s="342"/>
      <c r="G70" s="342"/>
      <c r="H70" s="342"/>
      <c r="I70" s="342"/>
      <c r="J70" s="342"/>
      <c r="K70" s="343"/>
    </row>
    <row r="71" spans="1:11" x14ac:dyDescent="0.3">
      <c r="A71" s="226"/>
      <c r="B71" s="342"/>
      <c r="C71" s="342"/>
      <c r="D71" s="342"/>
      <c r="E71" s="342"/>
      <c r="F71" s="342"/>
      <c r="G71" s="342"/>
      <c r="H71" s="342"/>
      <c r="I71" s="342"/>
      <c r="J71" s="342"/>
      <c r="K71" s="343"/>
    </row>
    <row r="72" spans="1:11" x14ac:dyDescent="0.3">
      <c r="A72" s="226"/>
      <c r="B72" s="342"/>
      <c r="C72" s="342"/>
      <c r="D72" s="342"/>
      <c r="E72" s="342"/>
      <c r="F72" s="342"/>
      <c r="G72" s="342"/>
      <c r="H72" s="342"/>
      <c r="I72" s="342"/>
      <c r="J72" s="342"/>
      <c r="K72" s="343"/>
    </row>
    <row r="73" spans="1:11" x14ac:dyDescent="0.3">
      <c r="A73" s="226"/>
      <c r="B73" s="342"/>
      <c r="C73" s="342"/>
      <c r="D73" s="342"/>
      <c r="E73" s="342"/>
      <c r="F73" s="342"/>
      <c r="G73" s="342"/>
      <c r="H73" s="342"/>
      <c r="I73" s="342"/>
      <c r="J73" s="342"/>
      <c r="K73" s="343"/>
    </row>
    <row r="74" spans="1:11" x14ac:dyDescent="0.3">
      <c r="A74" s="226"/>
      <c r="B74" s="342"/>
      <c r="C74" s="342"/>
      <c r="D74" s="342"/>
      <c r="E74" s="342"/>
      <c r="F74" s="342"/>
      <c r="G74" s="342"/>
      <c r="H74" s="342"/>
      <c r="I74" s="342"/>
      <c r="J74" s="342"/>
      <c r="K74" s="343"/>
    </row>
    <row r="75" spans="1:11" x14ac:dyDescent="0.3">
      <c r="A75" s="226"/>
      <c r="B75" s="342"/>
      <c r="C75" s="342"/>
      <c r="D75" s="342"/>
      <c r="E75" s="342"/>
      <c r="F75" s="342"/>
      <c r="G75" s="342"/>
      <c r="H75" s="342"/>
      <c r="I75" s="342"/>
      <c r="J75" s="342"/>
      <c r="K75" s="343"/>
    </row>
    <row r="76" spans="1:11" x14ac:dyDescent="0.3">
      <c r="A76" s="226"/>
      <c r="B76" s="342"/>
      <c r="C76" s="342"/>
      <c r="D76" s="342"/>
      <c r="E76" s="342"/>
      <c r="F76" s="342"/>
      <c r="G76" s="342"/>
      <c r="H76" s="342"/>
      <c r="I76" s="342"/>
      <c r="J76" s="342"/>
      <c r="K76" s="343"/>
    </row>
    <row r="77" spans="1:11" ht="15" thickBot="1" x14ac:dyDescent="0.35">
      <c r="A77" s="227"/>
      <c r="B77" s="344"/>
      <c r="C77" s="344"/>
      <c r="D77" s="344"/>
      <c r="E77" s="344"/>
      <c r="F77" s="344"/>
      <c r="G77" s="344"/>
      <c r="H77" s="344"/>
      <c r="I77" s="344"/>
      <c r="J77" s="344"/>
      <c r="K77" s="345"/>
    </row>
  </sheetData>
  <mergeCells count="77">
    <mergeCell ref="B12:K12"/>
    <mergeCell ref="A1:K1"/>
    <mergeCell ref="B2:K2"/>
    <mergeCell ref="B3:K3"/>
    <mergeCell ref="B4:K4"/>
    <mergeCell ref="B5:K5"/>
    <mergeCell ref="B6:K6"/>
    <mergeCell ref="B7:K7"/>
    <mergeCell ref="B8:K8"/>
    <mergeCell ref="B9:K9"/>
    <mergeCell ref="B10:K10"/>
    <mergeCell ref="B11:K11"/>
    <mergeCell ref="B24:K24"/>
    <mergeCell ref="B13:K13"/>
    <mergeCell ref="B14:K14"/>
    <mergeCell ref="B15:K15"/>
    <mergeCell ref="B16:K16"/>
    <mergeCell ref="B17:K17"/>
    <mergeCell ref="B18:K18"/>
    <mergeCell ref="B19:K19"/>
    <mergeCell ref="B20:K20"/>
    <mergeCell ref="B21:K21"/>
    <mergeCell ref="B22:K22"/>
    <mergeCell ref="B23:K23"/>
    <mergeCell ref="B36:K36"/>
    <mergeCell ref="B25:K25"/>
    <mergeCell ref="B26:K26"/>
    <mergeCell ref="B27:K27"/>
    <mergeCell ref="B28:K28"/>
    <mergeCell ref="B29:K29"/>
    <mergeCell ref="B30:K30"/>
    <mergeCell ref="B31:K31"/>
    <mergeCell ref="B32:K32"/>
    <mergeCell ref="B33:K33"/>
    <mergeCell ref="B34:K34"/>
    <mergeCell ref="B35:K35"/>
    <mergeCell ref="B48:K48"/>
    <mergeCell ref="B37:K37"/>
    <mergeCell ref="B38:K38"/>
    <mergeCell ref="B39:K39"/>
    <mergeCell ref="B40:K40"/>
    <mergeCell ref="B41:K41"/>
    <mergeCell ref="B42:K42"/>
    <mergeCell ref="B43:K43"/>
    <mergeCell ref="B44:K44"/>
    <mergeCell ref="B45:K45"/>
    <mergeCell ref="B46:K46"/>
    <mergeCell ref="B47:K47"/>
    <mergeCell ref="B60:K60"/>
    <mergeCell ref="B49:K49"/>
    <mergeCell ref="B50:K50"/>
    <mergeCell ref="B51:K51"/>
    <mergeCell ref="B52:K52"/>
    <mergeCell ref="B53:K53"/>
    <mergeCell ref="B54:K54"/>
    <mergeCell ref="B55:K55"/>
    <mergeCell ref="B56:K56"/>
    <mergeCell ref="B57:K57"/>
    <mergeCell ref="B58:K58"/>
    <mergeCell ref="B59:K59"/>
    <mergeCell ref="B72:K72"/>
    <mergeCell ref="B61:K61"/>
    <mergeCell ref="B62:K62"/>
    <mergeCell ref="B63:K63"/>
    <mergeCell ref="B64:K64"/>
    <mergeCell ref="B65:K65"/>
    <mergeCell ref="B66:K66"/>
    <mergeCell ref="B67:K67"/>
    <mergeCell ref="B68:K68"/>
    <mergeCell ref="B69:K69"/>
    <mergeCell ref="B70:K70"/>
    <mergeCell ref="B71:K71"/>
    <mergeCell ref="B73:K73"/>
    <mergeCell ref="B74:K74"/>
    <mergeCell ref="B75:K75"/>
    <mergeCell ref="B76:K76"/>
    <mergeCell ref="B77:K77"/>
  </mergeCells>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dimension ref="A1:Q17"/>
  <sheetViews>
    <sheetView workbookViewId="0">
      <selection activeCell="O12" sqref="O12"/>
    </sheetView>
  </sheetViews>
  <sheetFormatPr defaultRowHeight="14.4" x14ac:dyDescent="0.3"/>
  <cols>
    <col min="1" max="1" width="12.5546875" bestFit="1" customWidth="1"/>
    <col min="3" max="3" width="15.5546875" customWidth="1"/>
    <col min="4" max="4" width="16.33203125" customWidth="1"/>
    <col min="5" max="5" width="9.33203125" customWidth="1"/>
    <col min="6" max="6" width="9.5546875" bestFit="1" customWidth="1"/>
    <col min="12" max="12" width="10.33203125" customWidth="1"/>
    <col min="14" max="14" width="14.33203125" customWidth="1"/>
    <col min="15" max="15" width="14" customWidth="1"/>
    <col min="16" max="16" width="14.44140625" customWidth="1"/>
    <col min="17" max="17" width="12" customWidth="1"/>
  </cols>
  <sheetData>
    <row r="1" spans="1:17" x14ac:dyDescent="0.3">
      <c r="A1" t="s">
        <v>107</v>
      </c>
      <c r="B1" t="s">
        <v>1</v>
      </c>
      <c r="C1" t="s">
        <v>2</v>
      </c>
      <c r="D1" t="s">
        <v>3</v>
      </c>
      <c r="E1" t="s">
        <v>9</v>
      </c>
      <c r="F1" t="s">
        <v>71</v>
      </c>
      <c r="G1" t="s">
        <v>79</v>
      </c>
      <c r="H1" t="s">
        <v>80</v>
      </c>
      <c r="I1" t="s">
        <v>81</v>
      </c>
      <c r="J1" t="s">
        <v>82</v>
      </c>
      <c r="K1" t="s">
        <v>83</v>
      </c>
      <c r="L1" t="s">
        <v>84</v>
      </c>
      <c r="M1" t="s">
        <v>77</v>
      </c>
      <c r="N1" t="s">
        <v>88</v>
      </c>
      <c r="O1" t="s">
        <v>89</v>
      </c>
      <c r="P1" t="s">
        <v>90</v>
      </c>
      <c r="Q1" t="s">
        <v>8</v>
      </c>
    </row>
    <row r="2" spans="1:17" x14ac:dyDescent="0.3">
      <c r="A2" t="s">
        <v>16</v>
      </c>
      <c r="B2" t="s">
        <v>32</v>
      </c>
      <c r="C2" t="s">
        <v>91</v>
      </c>
      <c r="D2" t="s">
        <v>92</v>
      </c>
      <c r="E2">
        <v>1330</v>
      </c>
      <c r="F2" s="2">
        <v>42899</v>
      </c>
      <c r="I2" t="s">
        <v>93</v>
      </c>
      <c r="M2" t="s">
        <v>87</v>
      </c>
      <c r="N2" t="s">
        <v>47</v>
      </c>
      <c r="O2" s="2"/>
      <c r="P2" t="s">
        <v>94</v>
      </c>
      <c r="Q2" t="s">
        <v>95</v>
      </c>
    </row>
    <row r="3" spans="1:17" x14ac:dyDescent="0.3">
      <c r="A3" t="s">
        <v>16</v>
      </c>
      <c r="B3" t="s">
        <v>32</v>
      </c>
      <c r="C3" t="s">
        <v>96</v>
      </c>
      <c r="D3" t="s">
        <v>92</v>
      </c>
      <c r="E3">
        <v>1312</v>
      </c>
      <c r="F3" s="2">
        <v>42998</v>
      </c>
      <c r="G3" t="s">
        <v>97</v>
      </c>
      <c r="H3" t="s">
        <v>97</v>
      </c>
      <c r="I3" t="s">
        <v>97</v>
      </c>
      <c r="J3" t="s">
        <v>97</v>
      </c>
      <c r="L3" t="s">
        <v>93</v>
      </c>
      <c r="M3" t="s">
        <v>87</v>
      </c>
      <c r="N3" t="s">
        <v>47</v>
      </c>
      <c r="O3" s="2"/>
      <c r="P3" t="s">
        <v>94</v>
      </c>
      <c r="Q3" t="s">
        <v>97</v>
      </c>
    </row>
    <row r="4" spans="1:17" x14ac:dyDescent="0.3">
      <c r="A4" t="s">
        <v>16</v>
      </c>
      <c r="B4" t="s">
        <v>32</v>
      </c>
      <c r="C4" t="s">
        <v>98</v>
      </c>
      <c r="D4" t="s">
        <v>99</v>
      </c>
      <c r="E4">
        <v>1114</v>
      </c>
      <c r="F4" s="2">
        <v>40373</v>
      </c>
      <c r="G4" t="s">
        <v>97</v>
      </c>
      <c r="H4" t="s">
        <v>97</v>
      </c>
      <c r="I4" t="s">
        <v>97</v>
      </c>
      <c r="J4" t="s">
        <v>97</v>
      </c>
      <c r="K4" t="s">
        <v>93</v>
      </c>
      <c r="L4" t="s">
        <v>97</v>
      </c>
      <c r="M4" t="s">
        <v>87</v>
      </c>
      <c r="N4" t="s">
        <v>47</v>
      </c>
      <c r="O4" s="2"/>
      <c r="P4" t="s">
        <v>94</v>
      </c>
      <c r="Q4" t="s">
        <v>97</v>
      </c>
    </row>
    <row r="5" spans="1:17" x14ac:dyDescent="0.3">
      <c r="A5" t="s">
        <v>16</v>
      </c>
      <c r="B5" t="s">
        <v>32</v>
      </c>
      <c r="C5" t="s">
        <v>100</v>
      </c>
      <c r="D5" t="s">
        <v>101</v>
      </c>
      <c r="E5">
        <v>1206</v>
      </c>
      <c r="F5" s="2">
        <v>43115</v>
      </c>
      <c r="H5" t="s">
        <v>93</v>
      </c>
      <c r="M5" t="s">
        <v>87</v>
      </c>
      <c r="O5" s="2"/>
      <c r="P5" t="s">
        <v>94</v>
      </c>
    </row>
    <row r="6" spans="1:17" x14ac:dyDescent="0.3">
      <c r="A6" t="s">
        <v>16</v>
      </c>
      <c r="B6" t="s">
        <v>33</v>
      </c>
      <c r="C6" t="s">
        <v>102</v>
      </c>
      <c r="D6" t="s">
        <v>103</v>
      </c>
      <c r="E6">
        <v>1146</v>
      </c>
      <c r="F6" s="2">
        <v>43186</v>
      </c>
      <c r="G6" t="s">
        <v>97</v>
      </c>
      <c r="H6" t="s">
        <v>97</v>
      </c>
      <c r="I6" t="s">
        <v>93</v>
      </c>
      <c r="J6" t="s">
        <v>97</v>
      </c>
      <c r="K6" t="s">
        <v>97</v>
      </c>
      <c r="L6" t="s">
        <v>97</v>
      </c>
      <c r="M6" t="s">
        <v>86</v>
      </c>
      <c r="N6" t="s">
        <v>47</v>
      </c>
      <c r="O6" s="2"/>
      <c r="P6" t="s">
        <v>94</v>
      </c>
      <c r="Q6" t="s">
        <v>95</v>
      </c>
    </row>
    <row r="7" spans="1:17" x14ac:dyDescent="0.3">
      <c r="A7" t="s">
        <v>16</v>
      </c>
      <c r="B7" t="s">
        <v>34</v>
      </c>
      <c r="C7" t="s">
        <v>104</v>
      </c>
      <c r="D7" t="s">
        <v>103</v>
      </c>
      <c r="E7">
        <v>1175</v>
      </c>
      <c r="F7">
        <v>43213</v>
      </c>
      <c r="G7" t="s">
        <v>97</v>
      </c>
      <c r="H7" t="s">
        <v>97</v>
      </c>
      <c r="I7" t="s">
        <v>93</v>
      </c>
      <c r="J7" t="s">
        <v>97</v>
      </c>
      <c r="K7" t="s">
        <v>97</v>
      </c>
      <c r="L7" t="s">
        <v>97</v>
      </c>
      <c r="M7" t="s">
        <v>86</v>
      </c>
      <c r="N7" t="s">
        <v>47</v>
      </c>
      <c r="O7" s="2"/>
      <c r="P7" t="s">
        <v>49</v>
      </c>
      <c r="Q7" t="s">
        <v>105</v>
      </c>
    </row>
    <row r="8" spans="1:17" x14ac:dyDescent="0.3">
      <c r="A8" t="s">
        <v>16</v>
      </c>
      <c r="B8" t="s">
        <v>35</v>
      </c>
      <c r="C8" t="s">
        <v>106</v>
      </c>
      <c r="D8" t="s">
        <v>99</v>
      </c>
      <c r="E8" t="s">
        <v>97</v>
      </c>
      <c r="F8">
        <v>43226</v>
      </c>
      <c r="G8" t="s">
        <v>97</v>
      </c>
      <c r="H8" t="s">
        <v>93</v>
      </c>
      <c r="I8" t="s">
        <v>97</v>
      </c>
      <c r="J8" t="s">
        <v>97</v>
      </c>
      <c r="K8" t="s">
        <v>97</v>
      </c>
      <c r="L8" t="s">
        <v>97</v>
      </c>
      <c r="M8" t="s">
        <v>87</v>
      </c>
      <c r="N8" t="s">
        <v>97</v>
      </c>
      <c r="O8" s="2"/>
      <c r="P8" t="s">
        <v>49</v>
      </c>
      <c r="Q8" t="s">
        <v>97</v>
      </c>
    </row>
    <row r="9" spans="1:17" x14ac:dyDescent="0.3">
      <c r="A9" t="s">
        <v>16</v>
      </c>
      <c r="O9" s="2"/>
    </row>
    <row r="10" spans="1:17" x14ac:dyDescent="0.3">
      <c r="A10" t="s">
        <v>16</v>
      </c>
      <c r="O10" s="2"/>
    </row>
    <row r="11" spans="1:17" x14ac:dyDescent="0.3">
      <c r="A11" t="s">
        <v>16</v>
      </c>
      <c r="O11" s="2"/>
    </row>
    <row r="12" spans="1:17" x14ac:dyDescent="0.3">
      <c r="A12" t="s">
        <v>16</v>
      </c>
      <c r="O12" s="2"/>
    </row>
    <row r="13" spans="1:17" x14ac:dyDescent="0.3">
      <c r="A13" t="s">
        <v>16</v>
      </c>
      <c r="O13" s="2"/>
    </row>
    <row r="14" spans="1:17" x14ac:dyDescent="0.3">
      <c r="A14" t="s">
        <v>16</v>
      </c>
      <c r="O14" s="2"/>
    </row>
    <row r="15" spans="1:17" x14ac:dyDescent="0.3">
      <c r="A15" t="s">
        <v>16</v>
      </c>
      <c r="O15" s="2"/>
    </row>
    <row r="16" spans="1:17" x14ac:dyDescent="0.3">
      <c r="A16" t="s">
        <v>16</v>
      </c>
      <c r="O16" s="2"/>
    </row>
    <row r="17" spans="1:15" x14ac:dyDescent="0.3">
      <c r="A17" t="s">
        <v>16</v>
      </c>
      <c r="O17" s="2"/>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P24"/>
  <sheetViews>
    <sheetView workbookViewId="0">
      <selection activeCell="H23" sqref="H23"/>
    </sheetView>
  </sheetViews>
  <sheetFormatPr defaultRowHeight="14.4" x14ac:dyDescent="0.3"/>
  <sheetData>
    <row r="1" spans="1:16" x14ac:dyDescent="0.3">
      <c r="A1" t="s">
        <v>13</v>
      </c>
      <c r="D1" t="s">
        <v>32</v>
      </c>
      <c r="F1" t="s">
        <v>44</v>
      </c>
      <c r="H1" t="s">
        <v>48</v>
      </c>
      <c r="J1" t="s">
        <v>7</v>
      </c>
      <c r="L1" t="s">
        <v>55</v>
      </c>
      <c r="N1" t="s">
        <v>66</v>
      </c>
      <c r="P1" t="s">
        <v>86</v>
      </c>
    </row>
    <row r="2" spans="1:16" x14ac:dyDescent="0.3">
      <c r="A2" t="s">
        <v>14</v>
      </c>
      <c r="D2" t="s">
        <v>43</v>
      </c>
      <c r="F2" t="s">
        <v>45</v>
      </c>
      <c r="H2" t="s">
        <v>49</v>
      </c>
      <c r="J2" t="s">
        <v>51</v>
      </c>
      <c r="L2" t="s">
        <v>56</v>
      </c>
      <c r="N2" t="s">
        <v>49</v>
      </c>
      <c r="P2" t="s">
        <v>87</v>
      </c>
    </row>
    <row r="3" spans="1:16" x14ac:dyDescent="0.3">
      <c r="A3" t="s">
        <v>15</v>
      </c>
      <c r="D3" t="s">
        <v>33</v>
      </c>
      <c r="F3" t="s">
        <v>46</v>
      </c>
      <c r="H3" t="s">
        <v>50</v>
      </c>
      <c r="J3" t="s">
        <v>52</v>
      </c>
      <c r="L3" t="s">
        <v>57</v>
      </c>
    </row>
    <row r="4" spans="1:16" x14ac:dyDescent="0.3">
      <c r="A4" t="s">
        <v>16</v>
      </c>
      <c r="D4" t="s">
        <v>34</v>
      </c>
      <c r="F4" t="s">
        <v>47</v>
      </c>
      <c r="J4" t="s">
        <v>53</v>
      </c>
      <c r="L4" t="s">
        <v>58</v>
      </c>
    </row>
    <row r="5" spans="1:16" x14ac:dyDescent="0.3">
      <c r="A5" t="s">
        <v>17</v>
      </c>
      <c r="D5" t="s">
        <v>35</v>
      </c>
      <c r="J5" t="s">
        <v>54</v>
      </c>
      <c r="L5" t="s">
        <v>59</v>
      </c>
    </row>
    <row r="6" spans="1:16" x14ac:dyDescent="0.3">
      <c r="A6" t="s">
        <v>18</v>
      </c>
      <c r="D6" t="s">
        <v>36</v>
      </c>
      <c r="J6" t="s">
        <v>5</v>
      </c>
      <c r="L6" t="s">
        <v>60</v>
      </c>
    </row>
    <row r="7" spans="1:16" x14ac:dyDescent="0.3">
      <c r="A7" t="s">
        <v>31</v>
      </c>
      <c r="D7" t="s">
        <v>37</v>
      </c>
      <c r="L7" t="s">
        <v>61</v>
      </c>
    </row>
    <row r="8" spans="1:16" x14ac:dyDescent="0.3">
      <c r="A8" t="s">
        <v>19</v>
      </c>
      <c r="D8" t="s">
        <v>38</v>
      </c>
      <c r="L8" t="s">
        <v>62</v>
      </c>
    </row>
    <row r="9" spans="1:16" x14ac:dyDescent="0.3">
      <c r="A9" t="s">
        <v>20</v>
      </c>
      <c r="D9" t="s">
        <v>39</v>
      </c>
      <c r="L9" t="s">
        <v>63</v>
      </c>
    </row>
    <row r="10" spans="1:16" x14ac:dyDescent="0.3">
      <c r="A10" t="s">
        <v>21</v>
      </c>
      <c r="D10" t="s">
        <v>40</v>
      </c>
      <c r="L10" t="s">
        <v>64</v>
      </c>
    </row>
    <row r="11" spans="1:16" x14ac:dyDescent="0.3">
      <c r="A11" t="s">
        <v>22</v>
      </c>
      <c r="D11" t="s">
        <v>41</v>
      </c>
      <c r="H11" t="s">
        <v>115</v>
      </c>
      <c r="L11" t="s">
        <v>65</v>
      </c>
    </row>
    <row r="12" spans="1:16" ht="15.6" customHeight="1" x14ac:dyDescent="0.3">
      <c r="A12" t="s">
        <v>23</v>
      </c>
      <c r="D12" t="s">
        <v>42</v>
      </c>
      <c r="H12" t="s">
        <v>110</v>
      </c>
    </row>
    <row r="13" spans="1:16" ht="15.6" customHeight="1" x14ac:dyDescent="0.3">
      <c r="A13" t="s">
        <v>29</v>
      </c>
      <c r="H13" t="s">
        <v>111</v>
      </c>
    </row>
    <row r="14" spans="1:16" ht="15.6" customHeight="1" x14ac:dyDescent="0.3">
      <c r="A14" t="s">
        <v>30</v>
      </c>
      <c r="H14" t="s">
        <v>34</v>
      </c>
    </row>
    <row r="15" spans="1:16" x14ac:dyDescent="0.3">
      <c r="A15" t="s">
        <v>24</v>
      </c>
      <c r="H15" t="s">
        <v>35</v>
      </c>
    </row>
    <row r="16" spans="1:16" x14ac:dyDescent="0.3">
      <c r="A16" t="s">
        <v>25</v>
      </c>
      <c r="H16" t="s">
        <v>112</v>
      </c>
    </row>
    <row r="17" spans="1:8" x14ac:dyDescent="0.3">
      <c r="A17" t="s">
        <v>26</v>
      </c>
      <c r="H17" t="s">
        <v>37</v>
      </c>
    </row>
    <row r="18" spans="1:8" x14ac:dyDescent="0.3">
      <c r="A18" t="s">
        <v>27</v>
      </c>
      <c r="H18" t="s">
        <v>113</v>
      </c>
    </row>
    <row r="19" spans="1:8" x14ac:dyDescent="0.3">
      <c r="A19" t="s">
        <v>28</v>
      </c>
      <c r="H19" t="s">
        <v>114</v>
      </c>
    </row>
    <row r="20" spans="1:8" x14ac:dyDescent="0.3">
      <c r="H20" t="s">
        <v>116</v>
      </c>
    </row>
    <row r="21" spans="1:8" x14ac:dyDescent="0.3">
      <c r="A21" t="s">
        <v>108</v>
      </c>
      <c r="C21" t="s">
        <v>79</v>
      </c>
      <c r="D21" t="s">
        <v>83</v>
      </c>
      <c r="H21" t="s">
        <v>117</v>
      </c>
    </row>
    <row r="22" spans="1:8" x14ac:dyDescent="0.3">
      <c r="A22" t="s">
        <v>109</v>
      </c>
      <c r="C22" t="s">
        <v>80</v>
      </c>
      <c r="D22" t="s">
        <v>84</v>
      </c>
      <c r="H22" t="s">
        <v>118</v>
      </c>
    </row>
    <row r="23" spans="1:8" x14ac:dyDescent="0.3">
      <c r="C23" t="s">
        <v>81</v>
      </c>
    </row>
    <row r="24" spans="1:8" x14ac:dyDescent="0.3">
      <c r="C24" t="s">
        <v>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
  <sheetViews>
    <sheetView zoomScale="130" zoomScaleNormal="130" workbookViewId="0">
      <selection activeCell="E8" sqref="E8"/>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6:C57"/>
  <sheetViews>
    <sheetView showGridLines="0" workbookViewId="0">
      <selection activeCell="R14" sqref="R14"/>
    </sheetView>
  </sheetViews>
  <sheetFormatPr defaultColWidth="9.109375" defaultRowHeight="14.4" x14ac:dyDescent="0.3"/>
  <cols>
    <col min="1" max="1" width="9.44140625" style="110" customWidth="1"/>
    <col min="2" max="2" width="14.6640625" style="110" customWidth="1"/>
    <col min="3" max="16384" width="9.109375" style="110"/>
  </cols>
  <sheetData>
    <row r="6" spans="2:3" ht="15" customHeight="1" x14ac:dyDescent="0.3">
      <c r="B6" s="129" t="s">
        <v>192</v>
      </c>
    </row>
    <row r="7" spans="2:3" ht="18.75" customHeight="1" x14ac:dyDescent="0.3">
      <c r="C7" s="129"/>
    </row>
    <row r="8" spans="2:3" ht="15" customHeight="1" x14ac:dyDescent="0.3">
      <c r="B8" s="130" t="s">
        <v>162</v>
      </c>
      <c r="C8" s="131" t="s">
        <v>248</v>
      </c>
    </row>
    <row r="9" spans="2:3" ht="15" customHeight="1" x14ac:dyDescent="0.3">
      <c r="B9" s="130"/>
      <c r="C9" s="132" t="s">
        <v>249</v>
      </c>
    </row>
    <row r="10" spans="2:3" ht="15" customHeight="1" x14ac:dyDescent="0.3">
      <c r="B10" s="130"/>
      <c r="C10" s="110" t="s">
        <v>197</v>
      </c>
    </row>
    <row r="12" spans="2:3" ht="15" customHeight="1" x14ac:dyDescent="0.3">
      <c r="B12" s="133" t="s">
        <v>195</v>
      </c>
      <c r="C12" s="131" t="s">
        <v>250</v>
      </c>
    </row>
    <row r="13" spans="2:3" ht="15" customHeight="1" x14ac:dyDescent="0.3">
      <c r="B13" s="132"/>
      <c r="C13" s="132" t="s">
        <v>193</v>
      </c>
    </row>
    <row r="14" spans="2:3" ht="15" customHeight="1" x14ac:dyDescent="0.3"/>
    <row r="15" spans="2:3" ht="15" customHeight="1" x14ac:dyDescent="0.3">
      <c r="B15" s="134" t="s">
        <v>270</v>
      </c>
      <c r="C15" s="110" t="s">
        <v>210</v>
      </c>
    </row>
    <row r="17" spans="2:3" ht="15" customHeight="1" x14ac:dyDescent="0.3">
      <c r="B17" s="134" t="s">
        <v>196</v>
      </c>
      <c r="C17" s="131" t="s">
        <v>198</v>
      </c>
    </row>
    <row r="18" spans="2:3" x14ac:dyDescent="0.3">
      <c r="C18" s="132" t="s">
        <v>194</v>
      </c>
    </row>
    <row r="19" spans="2:3" x14ac:dyDescent="0.3">
      <c r="C19" s="132"/>
    </row>
    <row r="20" spans="2:3" ht="15" customHeight="1" x14ac:dyDescent="0.3">
      <c r="B20" s="134" t="s">
        <v>212</v>
      </c>
      <c r="C20" s="110" t="s">
        <v>217</v>
      </c>
    </row>
    <row r="21" spans="2:3" ht="15" customHeight="1" x14ac:dyDescent="0.3">
      <c r="B21" s="135"/>
      <c r="C21" s="110" t="s">
        <v>219</v>
      </c>
    </row>
    <row r="22" spans="2:3" ht="15" customHeight="1" x14ac:dyDescent="0.3">
      <c r="B22" s="135"/>
    </row>
    <row r="23" spans="2:3" ht="15" customHeight="1" x14ac:dyDescent="0.3">
      <c r="B23" s="134" t="s">
        <v>199</v>
      </c>
      <c r="C23" s="110" t="s">
        <v>211</v>
      </c>
    </row>
    <row r="24" spans="2:3" ht="15" customHeight="1" x14ac:dyDescent="0.3">
      <c r="B24" s="135"/>
    </row>
    <row r="25" spans="2:3" ht="15" customHeight="1" x14ac:dyDescent="0.3">
      <c r="B25" s="134" t="s">
        <v>213</v>
      </c>
      <c r="C25" s="110" t="s">
        <v>214</v>
      </c>
    </row>
    <row r="26" spans="2:3" ht="15" customHeight="1" x14ac:dyDescent="0.3">
      <c r="B26" s="134"/>
      <c r="C26" s="110" t="s">
        <v>215</v>
      </c>
    </row>
    <row r="27" spans="2:3" ht="15" customHeight="1" x14ac:dyDescent="0.3">
      <c r="B27" s="134"/>
      <c r="C27" s="110" t="s">
        <v>216</v>
      </c>
    </row>
    <row r="28" spans="2:3" ht="15" customHeight="1" x14ac:dyDescent="0.3">
      <c r="B28" s="135"/>
    </row>
    <row r="29" spans="2:3" ht="15" customHeight="1" x14ac:dyDescent="0.3">
      <c r="B29" s="134" t="s">
        <v>271</v>
      </c>
      <c r="C29" s="132" t="s">
        <v>298</v>
      </c>
    </row>
    <row r="30" spans="2:3" ht="15" customHeight="1" x14ac:dyDescent="0.3">
      <c r="B30" s="135"/>
      <c r="C30" s="110" t="s">
        <v>200</v>
      </c>
    </row>
    <row r="31" spans="2:3" ht="15" customHeight="1" x14ac:dyDescent="0.3">
      <c r="B31" s="135"/>
      <c r="C31" s="110" t="s">
        <v>201</v>
      </c>
    </row>
    <row r="32" spans="2:3" ht="15" customHeight="1" x14ac:dyDescent="0.3">
      <c r="B32" s="135"/>
    </row>
    <row r="33" spans="2:3" ht="15" customHeight="1" x14ac:dyDescent="0.3">
      <c r="B33" s="134" t="s">
        <v>202</v>
      </c>
      <c r="C33" s="132" t="s">
        <v>223</v>
      </c>
    </row>
    <row r="34" spans="2:3" x14ac:dyDescent="0.3">
      <c r="C34" s="110" t="s">
        <v>203</v>
      </c>
    </row>
    <row r="35" spans="2:3" ht="15" customHeight="1" x14ac:dyDescent="0.3">
      <c r="B35" s="134"/>
      <c r="C35" s="110" t="s">
        <v>204</v>
      </c>
    </row>
    <row r="36" spans="2:3" ht="15" customHeight="1" x14ac:dyDescent="0.3"/>
    <row r="37" spans="2:3" ht="15" customHeight="1" x14ac:dyDescent="0.3">
      <c r="B37" s="134" t="s">
        <v>222</v>
      </c>
      <c r="C37" s="110" t="s">
        <v>225</v>
      </c>
    </row>
    <row r="38" spans="2:3" ht="15" customHeight="1" x14ac:dyDescent="0.3">
      <c r="B38" s="134"/>
      <c r="C38" s="110" t="s">
        <v>226</v>
      </c>
    </row>
    <row r="39" spans="2:3" ht="15" customHeight="1" x14ac:dyDescent="0.3">
      <c r="C39" s="110" t="s">
        <v>224</v>
      </c>
    </row>
    <row r="40" spans="2:3" ht="15" customHeight="1" x14ac:dyDescent="0.3"/>
    <row r="41" spans="2:3" ht="15" customHeight="1" x14ac:dyDescent="0.3">
      <c r="B41" s="134" t="s">
        <v>206</v>
      </c>
      <c r="C41" s="110" t="s">
        <v>205</v>
      </c>
    </row>
    <row r="42" spans="2:3" ht="15" customHeight="1" x14ac:dyDescent="0.3">
      <c r="B42" s="134"/>
    </row>
    <row r="43" spans="2:3" ht="15" customHeight="1" x14ac:dyDescent="0.3">
      <c r="B43" s="134" t="s">
        <v>207</v>
      </c>
      <c r="C43" s="110" t="s">
        <v>208</v>
      </c>
    </row>
    <row r="44" spans="2:3" ht="15" customHeight="1" x14ac:dyDescent="0.3">
      <c r="C44" s="110" t="s">
        <v>209</v>
      </c>
    </row>
    <row r="45" spans="2:3" ht="15" customHeight="1" x14ac:dyDescent="0.3"/>
    <row r="47" spans="2:3" ht="15" customHeight="1" x14ac:dyDescent="0.3">
      <c r="B47" s="134"/>
    </row>
    <row r="48" spans="2:3" ht="15" customHeight="1" x14ac:dyDescent="0.3"/>
    <row r="49" spans="2:2" ht="15" customHeight="1" x14ac:dyDescent="0.3"/>
    <row r="51" spans="2:2" ht="15" customHeight="1" x14ac:dyDescent="0.3">
      <c r="B51" s="134"/>
    </row>
    <row r="52" spans="2:2" ht="15" customHeight="1" x14ac:dyDescent="0.3"/>
    <row r="54" spans="2:2" ht="15" customHeight="1" x14ac:dyDescent="0.3"/>
    <row r="55" spans="2:2" ht="15" customHeight="1" x14ac:dyDescent="0.3"/>
    <row r="57" spans="2:2" ht="15" customHeight="1" x14ac:dyDescent="0.3">
      <c r="B57" s="13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6:D53"/>
  <sheetViews>
    <sheetView showGridLines="0" topLeftCell="A4" workbookViewId="0">
      <selection activeCell="F35" sqref="F35"/>
    </sheetView>
  </sheetViews>
  <sheetFormatPr defaultColWidth="9.109375" defaultRowHeight="14.4" x14ac:dyDescent="0.3"/>
  <sheetData>
    <row r="6" spans="2:2" ht="18" x14ac:dyDescent="0.3">
      <c r="B6" s="104" t="s">
        <v>299</v>
      </c>
    </row>
    <row r="8" spans="2:2" x14ac:dyDescent="0.3">
      <c r="B8" t="s">
        <v>243</v>
      </c>
    </row>
    <row r="10" spans="2:2" x14ac:dyDescent="0.3">
      <c r="B10" t="s">
        <v>228</v>
      </c>
    </row>
    <row r="11" spans="2:2" x14ac:dyDescent="0.3">
      <c r="B11" t="s">
        <v>190</v>
      </c>
    </row>
    <row r="13" spans="2:2" x14ac:dyDescent="0.3">
      <c r="B13" t="s">
        <v>240</v>
      </c>
    </row>
    <row r="14" spans="2:2" x14ac:dyDescent="0.3">
      <c r="B14" t="s">
        <v>189</v>
      </c>
    </row>
    <row r="16" spans="2:2" x14ac:dyDescent="0.3">
      <c r="B16" t="s">
        <v>172</v>
      </c>
    </row>
    <row r="17" spans="2:2" x14ac:dyDescent="0.3">
      <c r="B17" t="s">
        <v>173</v>
      </c>
    </row>
    <row r="18" spans="2:2" x14ac:dyDescent="0.3">
      <c r="B18" t="s">
        <v>254</v>
      </c>
    </row>
    <row r="20" spans="2:2" x14ac:dyDescent="0.3">
      <c r="B20" t="s">
        <v>174</v>
      </c>
    </row>
    <row r="21" spans="2:2" x14ac:dyDescent="0.3">
      <c r="B21" t="s">
        <v>175</v>
      </c>
    </row>
    <row r="22" spans="2:2" x14ac:dyDescent="0.3">
      <c r="B22" t="s">
        <v>241</v>
      </c>
    </row>
    <row r="24" spans="2:2" x14ac:dyDescent="0.3">
      <c r="B24" t="s">
        <v>176</v>
      </c>
    </row>
    <row r="25" spans="2:2" x14ac:dyDescent="0.3">
      <c r="B25" t="s">
        <v>177</v>
      </c>
    </row>
    <row r="26" spans="2:2" x14ac:dyDescent="0.3">
      <c r="B26" t="s">
        <v>251</v>
      </c>
    </row>
    <row r="27" spans="2:2" x14ac:dyDescent="0.3">
      <c r="B27" t="s">
        <v>252</v>
      </c>
    </row>
    <row r="28" spans="2:2" x14ac:dyDescent="0.3">
      <c r="B28" t="s">
        <v>253</v>
      </c>
    </row>
    <row r="30" spans="2:2" x14ac:dyDescent="0.3">
      <c r="B30" t="s">
        <v>178</v>
      </c>
    </row>
    <row r="32" spans="2:2" x14ac:dyDescent="0.3">
      <c r="B32" t="s">
        <v>179</v>
      </c>
    </row>
    <row r="33" spans="2:2" x14ac:dyDescent="0.3">
      <c r="B33" t="s">
        <v>180</v>
      </c>
    </row>
    <row r="35" spans="2:2" x14ac:dyDescent="0.3">
      <c r="B35" t="s">
        <v>242</v>
      </c>
    </row>
    <row r="36" spans="2:2" x14ac:dyDescent="0.3">
      <c r="B36" t="s">
        <v>181</v>
      </c>
    </row>
    <row r="38" spans="2:2" x14ac:dyDescent="0.3">
      <c r="B38" t="s">
        <v>247</v>
      </c>
    </row>
    <row r="39" spans="2:2" x14ac:dyDescent="0.3">
      <c r="B39" t="s">
        <v>182</v>
      </c>
    </row>
    <row r="40" spans="2:2" x14ac:dyDescent="0.3">
      <c r="B40" t="s">
        <v>183</v>
      </c>
    </row>
    <row r="41" spans="2:2" x14ac:dyDescent="0.3">
      <c r="B41" t="s">
        <v>245</v>
      </c>
    </row>
    <row r="42" spans="2:2" x14ac:dyDescent="0.3">
      <c r="B42" t="s">
        <v>246</v>
      </c>
    </row>
    <row r="44" spans="2:2" x14ac:dyDescent="0.3">
      <c r="B44" s="106" t="s">
        <v>184</v>
      </c>
    </row>
    <row r="45" spans="2:2" x14ac:dyDescent="0.3">
      <c r="B45" s="106"/>
    </row>
    <row r="46" spans="2:2" x14ac:dyDescent="0.3">
      <c r="B46" s="106" t="s">
        <v>185</v>
      </c>
    </row>
    <row r="47" spans="2:2" x14ac:dyDescent="0.3">
      <c r="B47" s="106" t="s">
        <v>186</v>
      </c>
    </row>
    <row r="48" spans="2:2" x14ac:dyDescent="0.3">
      <c r="B48" s="107"/>
    </row>
    <row r="49" spans="2:4" x14ac:dyDescent="0.3">
      <c r="C49" s="107" t="s">
        <v>187</v>
      </c>
      <c r="D49" s="107"/>
    </row>
    <row r="51" spans="2:4" x14ac:dyDescent="0.3">
      <c r="B51" t="s">
        <v>188</v>
      </c>
    </row>
    <row r="52" spans="2:4" x14ac:dyDescent="0.3">
      <c r="B52" s="108"/>
    </row>
    <row r="53" spans="2:4" x14ac:dyDescent="0.3">
      <c r="B53" t="s">
        <v>255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DD71"/>
  </sheetPr>
  <dimension ref="A1:BM241"/>
  <sheetViews>
    <sheetView showGridLines="0" topLeftCell="E1" zoomScale="90" zoomScaleNormal="90" workbookViewId="0">
      <selection activeCell="Q5" sqref="Q5"/>
    </sheetView>
  </sheetViews>
  <sheetFormatPr defaultColWidth="9.109375" defaultRowHeight="14.4" x14ac:dyDescent="0.3"/>
  <cols>
    <col min="1" max="1" width="2.33203125" style="110" customWidth="1"/>
    <col min="2" max="2" width="9.88671875" style="110" customWidth="1"/>
    <col min="3" max="3" width="21" style="110" customWidth="1"/>
    <col min="4" max="4" width="15.5546875" style="110" customWidth="1"/>
    <col min="5" max="5" width="11.5546875" style="110" customWidth="1"/>
    <col min="6" max="6" width="14" style="110" customWidth="1"/>
    <col min="7" max="7" width="14.33203125" style="207" customWidth="1"/>
    <col min="8" max="8" width="14.33203125" style="110" customWidth="1"/>
    <col min="9" max="11" width="6.109375" style="110" customWidth="1"/>
    <col min="12" max="20" width="5.6640625" style="110" customWidth="1"/>
    <col min="21" max="21" width="6.6640625" style="110" customWidth="1"/>
    <col min="22" max="22" width="6.109375" style="110" customWidth="1"/>
    <col min="23" max="23" width="4.5546875" style="110" customWidth="1"/>
    <col min="24" max="24" width="6" style="110" customWidth="1"/>
    <col min="25" max="25" width="4.5546875" style="110" customWidth="1"/>
    <col min="26" max="26" width="7" style="110" customWidth="1"/>
    <col min="27" max="27" width="9.6640625" style="110" customWidth="1"/>
    <col min="28" max="28" width="6.33203125" style="110" customWidth="1"/>
    <col min="29" max="29" width="6.5546875" style="110" customWidth="1"/>
    <col min="30" max="30" width="9.5546875" style="110" customWidth="1"/>
    <col min="31" max="31" width="27.5546875" style="110" customWidth="1"/>
    <col min="32" max="16384" width="9.109375" style="110"/>
  </cols>
  <sheetData>
    <row r="1" spans="1:65" ht="21.6" thickBot="1" x14ac:dyDescent="0.35">
      <c r="A1" s="109"/>
      <c r="B1" s="258" t="s">
        <v>0</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9"/>
      <c r="AF1" s="247"/>
      <c r="BM1" s="110" t="s">
        <v>136</v>
      </c>
    </row>
    <row r="2" spans="1:65" ht="17.25" customHeight="1" x14ac:dyDescent="0.3">
      <c r="A2" s="111"/>
      <c r="B2" s="112"/>
      <c r="C2" s="112"/>
      <c r="D2" s="113" t="s">
        <v>273</v>
      </c>
      <c r="E2" s="260"/>
      <c r="F2" s="260"/>
      <c r="G2" s="203"/>
      <c r="H2" s="246" t="s">
        <v>152</v>
      </c>
      <c r="I2" s="246"/>
      <c r="J2" s="246"/>
      <c r="K2" s="246"/>
      <c r="L2" s="246"/>
      <c r="M2" s="246"/>
      <c r="N2" s="246"/>
      <c r="O2" s="246"/>
      <c r="P2" s="246"/>
      <c r="Q2" s="246"/>
      <c r="R2" s="246"/>
      <c r="S2" s="246"/>
      <c r="T2" s="246"/>
      <c r="U2" s="246"/>
      <c r="V2" s="246"/>
      <c r="W2" s="246"/>
      <c r="X2" s="246"/>
      <c r="Y2" s="246"/>
      <c r="Z2" s="246"/>
      <c r="AA2" s="246"/>
      <c r="AB2" s="246"/>
      <c r="AC2" s="246"/>
      <c r="AD2" s="246"/>
      <c r="AE2" s="246"/>
      <c r="AF2" s="248"/>
      <c r="BM2" s="110" t="s">
        <v>137</v>
      </c>
    </row>
    <row r="3" spans="1:65" ht="16.2" thickBot="1" x14ac:dyDescent="0.35">
      <c r="A3" s="111"/>
      <c r="B3" s="112"/>
      <c r="C3" s="112"/>
      <c r="D3" s="113" t="s">
        <v>121</v>
      </c>
      <c r="E3" s="261"/>
      <c r="F3" s="261"/>
      <c r="G3" s="204"/>
      <c r="H3" s="112"/>
      <c r="I3" s="112"/>
      <c r="J3" s="112"/>
      <c r="K3" s="112"/>
      <c r="L3" s="112"/>
      <c r="M3" s="112"/>
      <c r="N3" s="112"/>
      <c r="O3" s="112"/>
      <c r="P3" s="112"/>
      <c r="Q3" s="112"/>
      <c r="R3" s="112"/>
      <c r="S3" s="112"/>
      <c r="T3" s="112"/>
      <c r="U3" s="112"/>
      <c r="V3" s="112"/>
      <c r="W3" s="112"/>
      <c r="X3" s="112"/>
      <c r="Y3" s="112"/>
      <c r="Z3" s="112"/>
      <c r="AA3" s="112"/>
      <c r="AB3" s="112"/>
      <c r="AC3" s="112"/>
      <c r="AD3" s="112"/>
      <c r="AE3" s="112"/>
      <c r="AF3" s="248"/>
    </row>
    <row r="4" spans="1:65" ht="15" customHeight="1" thickBot="1" x14ac:dyDescent="0.35">
      <c r="A4" s="111"/>
      <c r="B4" s="112"/>
      <c r="C4" s="112"/>
      <c r="D4" s="112"/>
      <c r="E4" s="112"/>
      <c r="F4" s="112"/>
      <c r="G4" s="204"/>
      <c r="H4" s="112"/>
      <c r="I4" s="112"/>
      <c r="J4" s="267" t="s">
        <v>10</v>
      </c>
      <c r="K4" s="268"/>
      <c r="L4" s="268"/>
      <c r="M4" s="268"/>
      <c r="N4" s="269"/>
      <c r="O4" s="262" t="s">
        <v>11</v>
      </c>
      <c r="P4" s="263"/>
      <c r="Q4" s="264"/>
      <c r="R4" s="265" t="s">
        <v>6</v>
      </c>
      <c r="S4" s="266"/>
      <c r="T4" s="241" t="s">
        <v>320</v>
      </c>
      <c r="U4" s="242"/>
      <c r="V4" s="243" t="s">
        <v>12</v>
      </c>
      <c r="W4" s="244"/>
      <c r="X4" s="244"/>
      <c r="Y4" s="245"/>
      <c r="Z4" s="254" t="s">
        <v>129</v>
      </c>
      <c r="AA4" s="255"/>
      <c r="AB4" s="114" t="s">
        <v>135</v>
      </c>
      <c r="AC4" s="240" t="s">
        <v>135</v>
      </c>
      <c r="AD4" s="256" t="s">
        <v>147</v>
      </c>
      <c r="AE4" s="257"/>
      <c r="AF4" s="248"/>
    </row>
    <row r="5" spans="1:65" ht="165.75" customHeight="1" thickBot="1" x14ac:dyDescent="0.35">
      <c r="A5" s="111"/>
      <c r="B5" s="201" t="s">
        <v>1</v>
      </c>
      <c r="C5" s="201" t="s">
        <v>2</v>
      </c>
      <c r="D5" s="201" t="s">
        <v>272</v>
      </c>
      <c r="E5" s="201" t="s">
        <v>9</v>
      </c>
      <c r="F5" s="202" t="s">
        <v>153</v>
      </c>
      <c r="G5" s="202" t="s">
        <v>275</v>
      </c>
      <c r="H5" s="200" t="s">
        <v>148</v>
      </c>
      <c r="I5" s="200" t="s">
        <v>119</v>
      </c>
      <c r="J5" s="200" t="s">
        <v>312</v>
      </c>
      <c r="K5" s="200" t="s">
        <v>321</v>
      </c>
      <c r="L5" s="200" t="s">
        <v>4</v>
      </c>
      <c r="M5" s="200" t="s">
        <v>239</v>
      </c>
      <c r="N5" s="231" t="s">
        <v>314</v>
      </c>
      <c r="O5" s="200" t="s">
        <v>72</v>
      </c>
      <c r="P5" s="200" t="s">
        <v>73</v>
      </c>
      <c r="Q5" s="200" t="s">
        <v>122</v>
      </c>
      <c r="R5" s="200" t="s">
        <v>317</v>
      </c>
      <c r="S5" s="200" t="s">
        <v>131</v>
      </c>
      <c r="T5" s="200" t="s">
        <v>123</v>
      </c>
      <c r="U5" s="200" t="s">
        <v>124</v>
      </c>
      <c r="V5" s="200" t="s">
        <v>126</v>
      </c>
      <c r="W5" s="200" t="s">
        <v>125</v>
      </c>
      <c r="X5" s="200" t="s">
        <v>132</v>
      </c>
      <c r="Y5" s="200" t="s">
        <v>75</v>
      </c>
      <c r="Z5" s="200" t="s">
        <v>127</v>
      </c>
      <c r="AA5" s="200" t="s">
        <v>128</v>
      </c>
      <c r="AB5" s="200" t="s">
        <v>318</v>
      </c>
      <c r="AC5" s="200" t="s">
        <v>328</v>
      </c>
      <c r="AD5" s="200" t="s">
        <v>133</v>
      </c>
      <c r="AE5" s="202" t="s">
        <v>8</v>
      </c>
      <c r="AF5" s="248"/>
    </row>
    <row r="6" spans="1:65" x14ac:dyDescent="0.3">
      <c r="A6" s="115"/>
      <c r="B6" s="136"/>
      <c r="C6" s="3"/>
      <c r="D6" s="3"/>
      <c r="E6" s="3"/>
      <c r="F6" s="127"/>
      <c r="G6" s="205"/>
      <c r="H6" s="4"/>
      <c r="I6" s="116" t="str">
        <f t="shared" ref="I6:I37" si="0">IF(H6&gt;=37.8,"Yes","No")</f>
        <v>No</v>
      </c>
      <c r="J6" s="228"/>
      <c r="K6" s="235"/>
      <c r="L6" s="229"/>
      <c r="M6" s="229"/>
      <c r="N6" s="230"/>
      <c r="O6" s="136"/>
      <c r="P6" s="3"/>
      <c r="Q6" s="139"/>
      <c r="R6" s="136"/>
      <c r="S6" s="139"/>
      <c r="T6" s="136"/>
      <c r="U6" s="140"/>
      <c r="V6" s="142"/>
      <c r="W6" s="140"/>
      <c r="X6" s="140"/>
      <c r="Y6" s="141"/>
      <c r="Z6" s="142"/>
      <c r="AA6" s="141"/>
      <c r="AB6" s="143"/>
      <c r="AC6" s="144"/>
      <c r="AE6" s="118"/>
      <c r="AF6" s="248"/>
    </row>
    <row r="7" spans="1:65" x14ac:dyDescent="0.3">
      <c r="A7" s="115"/>
      <c r="B7" s="137"/>
      <c r="C7" s="4"/>
      <c r="D7" s="4"/>
      <c r="E7" s="4"/>
      <c r="F7" s="126"/>
      <c r="G7" s="205"/>
      <c r="H7" s="4"/>
      <c r="I7" s="119" t="str">
        <f t="shared" si="0"/>
        <v>No</v>
      </c>
      <c r="J7" s="145"/>
      <c r="K7" s="236"/>
      <c r="L7" s="4"/>
      <c r="M7" s="4"/>
      <c r="N7" s="211"/>
      <c r="O7" s="137"/>
      <c r="P7" s="4"/>
      <c r="Q7" s="5"/>
      <c r="R7" s="137"/>
      <c r="S7" s="5"/>
      <c r="T7" s="137"/>
      <c r="U7" s="120"/>
      <c r="V7" s="148"/>
      <c r="W7" s="120"/>
      <c r="X7" s="120"/>
      <c r="Y7" s="147"/>
      <c r="Z7" s="148"/>
      <c r="AA7" s="147"/>
      <c r="AB7" s="149"/>
      <c r="AC7" s="150"/>
      <c r="AD7" s="117"/>
      <c r="AE7" s="121"/>
      <c r="AF7" s="248"/>
    </row>
    <row r="8" spans="1:65" x14ac:dyDescent="0.3">
      <c r="A8" s="115"/>
      <c r="B8" s="137"/>
      <c r="C8" s="4"/>
      <c r="D8" s="4"/>
      <c r="E8" s="4"/>
      <c r="F8" s="126"/>
      <c r="G8" s="205"/>
      <c r="H8" s="4"/>
      <c r="I8" s="119" t="str">
        <f t="shared" si="0"/>
        <v>No</v>
      </c>
      <c r="J8" s="145"/>
      <c r="K8" s="236"/>
      <c r="L8" s="4"/>
      <c r="M8" s="4"/>
      <c r="N8" s="211"/>
      <c r="O8" s="137"/>
      <c r="P8" s="4"/>
      <c r="Q8" s="5"/>
      <c r="R8" s="137"/>
      <c r="S8" s="5"/>
      <c r="T8" s="137"/>
      <c r="U8" s="120"/>
      <c r="V8" s="148"/>
      <c r="W8" s="120"/>
      <c r="X8" s="120"/>
      <c r="Y8" s="147"/>
      <c r="Z8" s="148"/>
      <c r="AA8" s="147"/>
      <c r="AB8" s="149"/>
      <c r="AC8" s="150"/>
      <c r="AD8" s="117"/>
      <c r="AE8" s="121"/>
      <c r="AF8" s="248"/>
    </row>
    <row r="9" spans="1:65" x14ac:dyDescent="0.3">
      <c r="A9" s="115"/>
      <c r="B9" s="137"/>
      <c r="C9" s="4"/>
      <c r="D9" s="4"/>
      <c r="E9" s="4"/>
      <c r="F9" s="126"/>
      <c r="G9" s="205"/>
      <c r="H9" s="4"/>
      <c r="I9" s="119" t="str">
        <f t="shared" si="0"/>
        <v>No</v>
      </c>
      <c r="J9" s="145"/>
      <c r="K9" s="236"/>
      <c r="L9" s="4"/>
      <c r="M9" s="4"/>
      <c r="N9" s="211"/>
      <c r="O9" s="137"/>
      <c r="P9" s="4"/>
      <c r="Q9" s="5"/>
      <c r="R9" s="137"/>
      <c r="S9" s="5"/>
      <c r="T9" s="137"/>
      <c r="U9" s="120"/>
      <c r="V9" s="148"/>
      <c r="W9" s="120"/>
      <c r="X9" s="120"/>
      <c r="Y9" s="147"/>
      <c r="Z9" s="148"/>
      <c r="AA9" s="147"/>
      <c r="AB9" s="149"/>
      <c r="AC9" s="150"/>
      <c r="AD9" s="117"/>
      <c r="AE9" s="121"/>
      <c r="AF9" s="248"/>
    </row>
    <row r="10" spans="1:65" x14ac:dyDescent="0.3">
      <c r="A10" s="115"/>
      <c r="B10" s="137"/>
      <c r="C10" s="4"/>
      <c r="D10" s="4"/>
      <c r="E10" s="4"/>
      <c r="F10" s="126"/>
      <c r="G10" s="205"/>
      <c r="H10" s="4"/>
      <c r="I10" s="119" t="str">
        <f t="shared" si="0"/>
        <v>No</v>
      </c>
      <c r="J10" s="145"/>
      <c r="K10" s="236"/>
      <c r="L10" s="4"/>
      <c r="M10" s="4"/>
      <c r="N10" s="211"/>
      <c r="O10" s="137"/>
      <c r="P10" s="4"/>
      <c r="Q10" s="5"/>
      <c r="R10" s="137"/>
      <c r="S10" s="5"/>
      <c r="T10" s="137"/>
      <c r="U10" s="120"/>
      <c r="V10" s="148"/>
      <c r="W10" s="120"/>
      <c r="X10" s="120"/>
      <c r="Y10" s="147"/>
      <c r="Z10" s="148"/>
      <c r="AA10" s="147"/>
      <c r="AB10" s="149"/>
      <c r="AC10" s="150"/>
      <c r="AD10" s="117"/>
      <c r="AE10" s="121"/>
      <c r="AF10" s="248"/>
    </row>
    <row r="11" spans="1:65" x14ac:dyDescent="0.3">
      <c r="A11" s="115"/>
      <c r="B11" s="137"/>
      <c r="C11" s="4"/>
      <c r="D11" s="4"/>
      <c r="E11" s="4"/>
      <c r="F11" s="126"/>
      <c r="G11" s="205"/>
      <c r="H11" s="4"/>
      <c r="I11" s="119" t="str">
        <f t="shared" si="0"/>
        <v>No</v>
      </c>
      <c r="J11" s="145"/>
      <c r="K11" s="236"/>
      <c r="L11" s="4"/>
      <c r="M11" s="4"/>
      <c r="N11" s="211"/>
      <c r="O11" s="137"/>
      <c r="P11" s="4"/>
      <c r="Q11" s="5"/>
      <c r="R11" s="137"/>
      <c r="S11" s="5"/>
      <c r="T11" s="137"/>
      <c r="U11" s="120"/>
      <c r="V11" s="148"/>
      <c r="W11" s="120"/>
      <c r="X11" s="120"/>
      <c r="Y11" s="147"/>
      <c r="Z11" s="148"/>
      <c r="AA11" s="147"/>
      <c r="AB11" s="149"/>
      <c r="AC11" s="150"/>
      <c r="AD11" s="117"/>
      <c r="AE11" s="121"/>
      <c r="AF11" s="248"/>
    </row>
    <row r="12" spans="1:65" x14ac:dyDescent="0.3">
      <c r="A12" s="115"/>
      <c r="B12" s="137"/>
      <c r="C12" s="4"/>
      <c r="D12" s="4"/>
      <c r="E12" s="4"/>
      <c r="F12" s="126"/>
      <c r="G12" s="205"/>
      <c r="H12" s="4"/>
      <c r="I12" s="119" t="str">
        <f t="shared" si="0"/>
        <v>No</v>
      </c>
      <c r="J12" s="145"/>
      <c r="K12" s="236"/>
      <c r="L12" s="4"/>
      <c r="M12" s="4"/>
      <c r="N12" s="211"/>
      <c r="O12" s="137"/>
      <c r="P12" s="4"/>
      <c r="Q12" s="5"/>
      <c r="R12" s="137"/>
      <c r="S12" s="5"/>
      <c r="T12" s="137"/>
      <c r="U12" s="120"/>
      <c r="V12" s="148"/>
      <c r="W12" s="120"/>
      <c r="X12" s="120"/>
      <c r="Y12" s="147"/>
      <c r="Z12" s="148"/>
      <c r="AA12" s="147"/>
      <c r="AB12" s="149"/>
      <c r="AC12" s="150"/>
      <c r="AD12" s="117"/>
      <c r="AE12" s="121"/>
      <c r="AF12" s="248"/>
    </row>
    <row r="13" spans="1:65" x14ac:dyDescent="0.3">
      <c r="A13" s="115"/>
      <c r="B13" s="137"/>
      <c r="C13" s="4"/>
      <c r="D13" s="4"/>
      <c r="E13" s="4"/>
      <c r="F13" s="126"/>
      <c r="G13" s="205"/>
      <c r="H13" s="4"/>
      <c r="I13" s="119" t="str">
        <f t="shared" si="0"/>
        <v>No</v>
      </c>
      <c r="J13" s="145"/>
      <c r="K13" s="236"/>
      <c r="L13" s="4"/>
      <c r="M13" s="4"/>
      <c r="N13" s="211"/>
      <c r="O13" s="137"/>
      <c r="P13" s="4"/>
      <c r="Q13" s="5"/>
      <c r="R13" s="137"/>
      <c r="S13" s="5"/>
      <c r="T13" s="137"/>
      <c r="U13" s="120"/>
      <c r="V13" s="148"/>
      <c r="W13" s="120"/>
      <c r="X13" s="120"/>
      <c r="Y13" s="147"/>
      <c r="Z13" s="148"/>
      <c r="AA13" s="147"/>
      <c r="AB13" s="149"/>
      <c r="AC13" s="150"/>
      <c r="AD13" s="117"/>
      <c r="AE13" s="121"/>
      <c r="AF13" s="248"/>
    </row>
    <row r="14" spans="1:65" x14ac:dyDescent="0.3">
      <c r="A14" s="115"/>
      <c r="B14" s="137"/>
      <c r="C14" s="4"/>
      <c r="D14" s="4"/>
      <c r="E14" s="4"/>
      <c r="F14" s="126"/>
      <c r="G14" s="205"/>
      <c r="H14" s="4"/>
      <c r="I14" s="122" t="str">
        <f t="shared" si="0"/>
        <v>No</v>
      </c>
      <c r="J14" s="145"/>
      <c r="K14" s="236"/>
      <c r="L14" s="4"/>
      <c r="M14" s="4"/>
      <c r="N14" s="211"/>
      <c r="O14" s="137"/>
      <c r="P14" s="4"/>
      <c r="Q14" s="5"/>
      <c r="R14" s="137"/>
      <c r="S14" s="5"/>
      <c r="T14" s="137"/>
      <c r="U14" s="120"/>
      <c r="V14" s="148"/>
      <c r="W14" s="120"/>
      <c r="X14" s="120"/>
      <c r="Y14" s="147"/>
      <c r="Z14" s="148"/>
      <c r="AA14" s="147"/>
      <c r="AB14" s="149"/>
      <c r="AC14" s="150"/>
      <c r="AD14" s="117"/>
      <c r="AE14" s="121"/>
      <c r="AF14" s="248"/>
    </row>
    <row r="15" spans="1:65" x14ac:dyDescent="0.3">
      <c r="A15" s="115"/>
      <c r="B15" s="137"/>
      <c r="C15" s="4"/>
      <c r="D15" s="4"/>
      <c r="E15" s="4"/>
      <c r="F15" s="126"/>
      <c r="G15" s="205"/>
      <c r="H15" s="4"/>
      <c r="I15" s="122" t="str">
        <f t="shared" si="0"/>
        <v>No</v>
      </c>
      <c r="J15" s="145"/>
      <c r="K15" s="236"/>
      <c r="L15" s="4"/>
      <c r="M15" s="4"/>
      <c r="N15" s="211"/>
      <c r="O15" s="137"/>
      <c r="P15" s="4"/>
      <c r="Q15" s="5"/>
      <c r="R15" s="137"/>
      <c r="S15" s="5"/>
      <c r="T15" s="137"/>
      <c r="U15" s="120"/>
      <c r="V15" s="148"/>
      <c r="W15" s="120"/>
      <c r="X15" s="120"/>
      <c r="Y15" s="147"/>
      <c r="Z15" s="148"/>
      <c r="AA15" s="147"/>
      <c r="AB15" s="149"/>
      <c r="AC15" s="150"/>
      <c r="AD15" s="117"/>
      <c r="AE15" s="121"/>
      <c r="AF15" s="248"/>
    </row>
    <row r="16" spans="1:65" x14ac:dyDescent="0.3">
      <c r="A16" s="115"/>
      <c r="B16" s="137"/>
      <c r="C16" s="4"/>
      <c r="D16" s="4"/>
      <c r="E16" s="4"/>
      <c r="F16" s="126"/>
      <c r="G16" s="205"/>
      <c r="H16" s="4"/>
      <c r="I16" s="119" t="str">
        <f t="shared" ref="I16" si="1">IF(H16&gt;=37.8,"Yes","No")</f>
        <v>No</v>
      </c>
      <c r="J16" s="145"/>
      <c r="K16" s="236"/>
      <c r="L16" s="4"/>
      <c r="M16" s="4"/>
      <c r="N16" s="211"/>
      <c r="O16" s="137"/>
      <c r="P16" s="4"/>
      <c r="Q16" s="5"/>
      <c r="R16" s="137"/>
      <c r="S16" s="5"/>
      <c r="T16" s="137"/>
      <c r="U16" s="120"/>
      <c r="V16" s="148"/>
      <c r="W16" s="120"/>
      <c r="X16" s="120"/>
      <c r="Y16" s="147"/>
      <c r="Z16" s="148"/>
      <c r="AA16" s="147"/>
      <c r="AB16" s="149"/>
      <c r="AC16" s="150"/>
      <c r="AD16" s="117"/>
      <c r="AE16" s="121"/>
      <c r="AF16" s="248"/>
    </row>
    <row r="17" spans="1:32" x14ac:dyDescent="0.3">
      <c r="A17" s="115"/>
      <c r="B17" s="137"/>
      <c r="C17" s="4"/>
      <c r="D17" s="4"/>
      <c r="E17" s="4"/>
      <c r="F17" s="126"/>
      <c r="G17" s="205"/>
      <c r="H17" s="4"/>
      <c r="I17" s="122" t="str">
        <f t="shared" si="0"/>
        <v>No</v>
      </c>
      <c r="J17" s="145"/>
      <c r="K17" s="236"/>
      <c r="L17" s="4"/>
      <c r="M17" s="4"/>
      <c r="N17" s="211"/>
      <c r="O17" s="137"/>
      <c r="P17" s="4"/>
      <c r="Q17" s="5"/>
      <c r="R17" s="137"/>
      <c r="S17" s="5"/>
      <c r="T17" s="137"/>
      <c r="U17" s="120"/>
      <c r="V17" s="148"/>
      <c r="W17" s="120"/>
      <c r="X17" s="120"/>
      <c r="Y17" s="147"/>
      <c r="Z17" s="148"/>
      <c r="AA17" s="147"/>
      <c r="AB17" s="149"/>
      <c r="AC17" s="150"/>
      <c r="AD17" s="117"/>
      <c r="AE17" s="121"/>
      <c r="AF17" s="248"/>
    </row>
    <row r="18" spans="1:32" x14ac:dyDescent="0.3">
      <c r="A18" s="115"/>
      <c r="B18" s="137"/>
      <c r="C18" s="4"/>
      <c r="D18" s="4"/>
      <c r="E18" s="4"/>
      <c r="F18" s="126"/>
      <c r="G18" s="205"/>
      <c r="H18" s="4"/>
      <c r="I18" s="122" t="str">
        <f t="shared" si="0"/>
        <v>No</v>
      </c>
      <c r="J18" s="145"/>
      <c r="K18" s="236"/>
      <c r="L18" s="4"/>
      <c r="M18" s="4"/>
      <c r="N18" s="211"/>
      <c r="O18" s="137"/>
      <c r="P18" s="4"/>
      <c r="Q18" s="5"/>
      <c r="R18" s="137"/>
      <c r="S18" s="5"/>
      <c r="T18" s="137"/>
      <c r="U18" s="120"/>
      <c r="V18" s="148"/>
      <c r="W18" s="120"/>
      <c r="X18" s="120"/>
      <c r="Y18" s="147"/>
      <c r="Z18" s="148"/>
      <c r="AA18" s="147"/>
      <c r="AB18" s="149"/>
      <c r="AC18" s="150"/>
      <c r="AD18" s="117"/>
      <c r="AE18" s="121"/>
      <c r="AF18" s="248"/>
    </row>
    <row r="19" spans="1:32" x14ac:dyDescent="0.3">
      <c r="A19" s="115"/>
      <c r="B19" s="137"/>
      <c r="C19" s="4"/>
      <c r="D19" s="4"/>
      <c r="E19" s="4"/>
      <c r="F19" s="126"/>
      <c r="G19" s="205"/>
      <c r="H19" s="4"/>
      <c r="I19" s="122" t="str">
        <f t="shared" si="0"/>
        <v>No</v>
      </c>
      <c r="J19" s="145"/>
      <c r="K19" s="236"/>
      <c r="L19" s="4"/>
      <c r="M19" s="4"/>
      <c r="N19" s="211"/>
      <c r="O19" s="137"/>
      <c r="P19" s="4"/>
      <c r="Q19" s="5"/>
      <c r="R19" s="137"/>
      <c r="S19" s="5"/>
      <c r="T19" s="137"/>
      <c r="U19" s="120"/>
      <c r="V19" s="148"/>
      <c r="W19" s="120"/>
      <c r="X19" s="120"/>
      <c r="Y19" s="147"/>
      <c r="Z19" s="148"/>
      <c r="AA19" s="147"/>
      <c r="AB19" s="149"/>
      <c r="AC19" s="150"/>
      <c r="AD19" s="117"/>
      <c r="AE19" s="121"/>
      <c r="AF19" s="248"/>
    </row>
    <row r="20" spans="1:32" x14ac:dyDescent="0.3">
      <c r="A20" s="115"/>
      <c r="B20" s="137"/>
      <c r="C20" s="4"/>
      <c r="D20" s="4"/>
      <c r="E20" s="4"/>
      <c r="F20" s="126"/>
      <c r="G20" s="205"/>
      <c r="H20" s="4"/>
      <c r="I20" s="122" t="str">
        <f t="shared" si="0"/>
        <v>No</v>
      </c>
      <c r="J20" s="145"/>
      <c r="K20" s="236"/>
      <c r="L20" s="4"/>
      <c r="M20" s="4"/>
      <c r="N20" s="211"/>
      <c r="O20" s="137"/>
      <c r="P20" s="4"/>
      <c r="Q20" s="5"/>
      <c r="R20" s="137"/>
      <c r="S20" s="5"/>
      <c r="T20" s="137"/>
      <c r="U20" s="120"/>
      <c r="V20" s="148"/>
      <c r="W20" s="120"/>
      <c r="X20" s="120"/>
      <c r="Y20" s="147"/>
      <c r="Z20" s="148"/>
      <c r="AA20" s="147"/>
      <c r="AB20" s="149"/>
      <c r="AC20" s="150"/>
      <c r="AD20" s="117"/>
      <c r="AE20" s="121"/>
      <c r="AF20" s="248"/>
    </row>
    <row r="21" spans="1:32" ht="19.95" customHeight="1" x14ac:dyDescent="0.3">
      <c r="A21" s="115"/>
      <c r="B21" s="137"/>
      <c r="C21" s="4"/>
      <c r="D21" s="4"/>
      <c r="E21" s="4"/>
      <c r="F21" s="126"/>
      <c r="G21" s="205"/>
      <c r="H21" s="8"/>
      <c r="I21" s="122" t="str">
        <f t="shared" si="0"/>
        <v>No</v>
      </c>
      <c r="J21" s="145"/>
      <c r="K21" s="236"/>
      <c r="L21" s="4"/>
      <c r="M21" s="6"/>
      <c r="N21" s="212"/>
      <c r="O21" s="152"/>
      <c r="P21" s="6"/>
      <c r="Q21" s="151"/>
      <c r="R21" s="152"/>
      <c r="S21" s="151"/>
      <c r="T21" s="152"/>
      <c r="U21" s="120"/>
      <c r="V21" s="148"/>
      <c r="W21" s="120"/>
      <c r="X21" s="120"/>
      <c r="Y21" s="147"/>
      <c r="Z21" s="148"/>
      <c r="AA21" s="147"/>
      <c r="AB21" s="149"/>
      <c r="AC21" s="150"/>
      <c r="AD21" s="117"/>
      <c r="AE21" s="121"/>
      <c r="AF21" s="248"/>
    </row>
    <row r="22" spans="1:32" x14ac:dyDescent="0.3">
      <c r="A22" s="115"/>
      <c r="B22" s="137"/>
      <c r="C22" s="4"/>
      <c r="D22" s="4"/>
      <c r="E22" s="4"/>
      <c r="F22" s="126"/>
      <c r="G22" s="205"/>
      <c r="H22" s="6"/>
      <c r="I22" s="122" t="str">
        <f t="shared" si="0"/>
        <v>No</v>
      </c>
      <c r="J22" s="145"/>
      <c r="K22" s="236"/>
      <c r="L22" s="4"/>
      <c r="M22" s="4"/>
      <c r="N22" s="211"/>
      <c r="O22" s="137"/>
      <c r="P22" s="4"/>
      <c r="Q22" s="153"/>
      <c r="R22" s="137"/>
      <c r="S22" s="5"/>
      <c r="T22" s="137"/>
      <c r="U22" s="120"/>
      <c r="V22" s="148"/>
      <c r="W22" s="120"/>
      <c r="X22" s="120"/>
      <c r="Y22" s="147"/>
      <c r="Z22" s="148"/>
      <c r="AA22" s="147"/>
      <c r="AB22" s="149"/>
      <c r="AC22" s="150"/>
      <c r="AD22" s="117"/>
      <c r="AE22" s="121"/>
      <c r="AF22" s="248"/>
    </row>
    <row r="23" spans="1:32" x14ac:dyDescent="0.3">
      <c r="A23" s="115"/>
      <c r="B23" s="137"/>
      <c r="C23" s="4"/>
      <c r="D23" s="4"/>
      <c r="E23" s="4"/>
      <c r="F23" s="126"/>
      <c r="G23" s="146"/>
      <c r="H23" s="6"/>
      <c r="I23" s="122" t="str">
        <f t="shared" si="0"/>
        <v>No</v>
      </c>
      <c r="J23" s="145"/>
      <c r="K23" s="236"/>
      <c r="L23" s="4"/>
      <c r="M23" s="4"/>
      <c r="N23" s="211"/>
      <c r="O23" s="137"/>
      <c r="P23" s="4"/>
      <c r="Q23" s="153"/>
      <c r="R23" s="137"/>
      <c r="S23" s="5"/>
      <c r="T23" s="137"/>
      <c r="U23" s="120"/>
      <c r="V23" s="148"/>
      <c r="W23" s="120"/>
      <c r="X23" s="120"/>
      <c r="Y23" s="147"/>
      <c r="Z23" s="148"/>
      <c r="AA23" s="147"/>
      <c r="AB23" s="149"/>
      <c r="AC23" s="150"/>
      <c r="AD23" s="117"/>
      <c r="AE23" s="121"/>
      <c r="AF23" s="248"/>
    </row>
    <row r="24" spans="1:32" x14ac:dyDescent="0.3">
      <c r="A24" s="115"/>
      <c r="B24" s="137"/>
      <c r="C24" s="4"/>
      <c r="D24" s="4"/>
      <c r="E24" s="4"/>
      <c r="F24" s="126"/>
      <c r="G24" s="146"/>
      <c r="H24" s="6"/>
      <c r="I24" s="122" t="str">
        <f t="shared" si="0"/>
        <v>No</v>
      </c>
      <c r="J24" s="145"/>
      <c r="K24" s="236"/>
      <c r="L24" s="4"/>
      <c r="M24" s="4"/>
      <c r="N24" s="211"/>
      <c r="O24" s="137"/>
      <c r="P24" s="4"/>
      <c r="Q24" s="5"/>
      <c r="R24" s="137"/>
      <c r="S24" s="5"/>
      <c r="T24" s="137"/>
      <c r="U24" s="120"/>
      <c r="V24" s="148"/>
      <c r="W24" s="120"/>
      <c r="X24" s="120"/>
      <c r="Y24" s="147"/>
      <c r="Z24" s="148"/>
      <c r="AA24" s="147"/>
      <c r="AB24" s="149"/>
      <c r="AC24" s="150"/>
      <c r="AD24" s="117"/>
      <c r="AE24" s="121"/>
      <c r="AF24" s="248"/>
    </row>
    <row r="25" spans="1:32" x14ac:dyDescent="0.3">
      <c r="A25" s="115"/>
      <c r="B25" s="137"/>
      <c r="C25" s="4"/>
      <c r="D25" s="4"/>
      <c r="E25" s="4"/>
      <c r="F25" s="126"/>
      <c r="G25" s="146"/>
      <c r="H25" s="6"/>
      <c r="I25" s="122" t="str">
        <f t="shared" si="0"/>
        <v>No</v>
      </c>
      <c r="J25" s="145"/>
      <c r="K25" s="236"/>
      <c r="L25" s="4"/>
      <c r="M25" s="4"/>
      <c r="N25" s="211"/>
      <c r="O25" s="137"/>
      <c r="P25" s="4"/>
      <c r="Q25" s="5"/>
      <c r="R25" s="137"/>
      <c r="S25" s="5"/>
      <c r="T25" s="137"/>
      <c r="U25" s="120"/>
      <c r="V25" s="148"/>
      <c r="W25" s="120"/>
      <c r="X25" s="120"/>
      <c r="Y25" s="147"/>
      <c r="Z25" s="148"/>
      <c r="AA25" s="147"/>
      <c r="AB25" s="149"/>
      <c r="AC25" s="150"/>
      <c r="AD25" s="117"/>
      <c r="AE25" s="121"/>
      <c r="AF25" s="248"/>
    </row>
    <row r="26" spans="1:32" x14ac:dyDescent="0.3">
      <c r="A26" s="115"/>
      <c r="B26" s="137"/>
      <c r="C26" s="4"/>
      <c r="D26" s="4"/>
      <c r="E26" s="4"/>
      <c r="F26" s="126"/>
      <c r="G26" s="146"/>
      <c r="H26" s="6"/>
      <c r="I26" s="122" t="str">
        <f t="shared" si="0"/>
        <v>No</v>
      </c>
      <c r="J26" s="145"/>
      <c r="K26" s="236"/>
      <c r="L26" s="4"/>
      <c r="M26" s="4"/>
      <c r="N26" s="211"/>
      <c r="O26" s="137"/>
      <c r="P26" s="4"/>
      <c r="Q26" s="5"/>
      <c r="R26" s="137"/>
      <c r="S26" s="5"/>
      <c r="T26" s="137"/>
      <c r="U26" s="120"/>
      <c r="V26" s="148"/>
      <c r="W26" s="120"/>
      <c r="X26" s="120"/>
      <c r="Y26" s="147"/>
      <c r="Z26" s="148"/>
      <c r="AA26" s="147"/>
      <c r="AB26" s="149"/>
      <c r="AC26" s="150"/>
      <c r="AD26" s="117"/>
      <c r="AE26" s="121"/>
      <c r="AF26" s="248"/>
    </row>
    <row r="27" spans="1:32" x14ac:dyDescent="0.3">
      <c r="A27" s="115"/>
      <c r="B27" s="137"/>
      <c r="C27" s="4"/>
      <c r="D27" s="4"/>
      <c r="E27" s="4"/>
      <c r="F27" s="126"/>
      <c r="G27" s="146"/>
      <c r="H27" s="6"/>
      <c r="I27" s="119" t="str">
        <f t="shared" si="0"/>
        <v>No</v>
      </c>
      <c r="J27" s="145"/>
      <c r="K27" s="236"/>
      <c r="L27" s="146"/>
      <c r="M27" s="4"/>
      <c r="N27" s="211"/>
      <c r="O27" s="137"/>
      <c r="P27" s="4"/>
      <c r="Q27" s="5"/>
      <c r="R27" s="137"/>
      <c r="S27" s="5"/>
      <c r="T27" s="137"/>
      <c r="U27" s="4"/>
      <c r="V27" s="137"/>
      <c r="W27" s="4"/>
      <c r="X27" s="4"/>
      <c r="Y27" s="5"/>
      <c r="Z27" s="137"/>
      <c r="AA27" s="5"/>
      <c r="AB27" s="154"/>
      <c r="AC27" s="155"/>
      <c r="AD27" s="123"/>
      <c r="AE27" s="121"/>
      <c r="AF27" s="248"/>
    </row>
    <row r="28" spans="1:32" x14ac:dyDescent="0.3">
      <c r="A28" s="115"/>
      <c r="B28" s="137"/>
      <c r="C28" s="4"/>
      <c r="D28" s="4"/>
      <c r="E28" s="4"/>
      <c r="F28" s="126"/>
      <c r="G28" s="146"/>
      <c r="H28" s="6"/>
      <c r="I28" s="119" t="str">
        <f t="shared" si="0"/>
        <v>No</v>
      </c>
      <c r="J28" s="145"/>
      <c r="K28" s="236"/>
      <c r="L28" s="146"/>
      <c r="M28" s="4"/>
      <c r="N28" s="211"/>
      <c r="O28" s="137"/>
      <c r="P28" s="4"/>
      <c r="Q28" s="5"/>
      <c r="R28" s="137"/>
      <c r="S28" s="5"/>
      <c r="T28" s="137"/>
      <c r="U28" s="4"/>
      <c r="V28" s="137"/>
      <c r="W28" s="4"/>
      <c r="X28" s="4"/>
      <c r="Y28" s="5"/>
      <c r="Z28" s="137"/>
      <c r="AA28" s="5"/>
      <c r="AB28" s="154"/>
      <c r="AC28" s="155"/>
      <c r="AD28" s="123"/>
      <c r="AE28" s="121"/>
      <c r="AF28" s="248"/>
    </row>
    <row r="29" spans="1:32" x14ac:dyDescent="0.3">
      <c r="A29" s="115"/>
      <c r="B29" s="137"/>
      <c r="C29" s="4"/>
      <c r="D29" s="4"/>
      <c r="E29" s="4"/>
      <c r="F29" s="126"/>
      <c r="G29" s="146"/>
      <c r="H29" s="6"/>
      <c r="I29" s="119" t="str">
        <f t="shared" si="0"/>
        <v>No</v>
      </c>
      <c r="J29" s="145"/>
      <c r="K29" s="236"/>
      <c r="L29" s="146"/>
      <c r="M29" s="4"/>
      <c r="N29" s="211"/>
      <c r="O29" s="137"/>
      <c r="P29" s="4"/>
      <c r="Q29" s="5"/>
      <c r="R29" s="137"/>
      <c r="S29" s="5"/>
      <c r="T29" s="137"/>
      <c r="U29" s="4"/>
      <c r="V29" s="137"/>
      <c r="W29" s="4"/>
      <c r="X29" s="4"/>
      <c r="Y29" s="5"/>
      <c r="Z29" s="137"/>
      <c r="AA29" s="5"/>
      <c r="AB29" s="154"/>
      <c r="AC29" s="155"/>
      <c r="AD29" s="123"/>
      <c r="AE29" s="121"/>
      <c r="AF29" s="248"/>
    </row>
    <row r="30" spans="1:32" x14ac:dyDescent="0.3">
      <c r="A30" s="115"/>
      <c r="B30" s="137"/>
      <c r="C30" s="4"/>
      <c r="D30" s="4"/>
      <c r="E30" s="4"/>
      <c r="F30" s="126"/>
      <c r="G30" s="146"/>
      <c r="H30" s="6"/>
      <c r="I30" s="119" t="str">
        <f t="shared" si="0"/>
        <v>No</v>
      </c>
      <c r="J30" s="145"/>
      <c r="K30" s="236"/>
      <c r="L30" s="146"/>
      <c r="M30" s="4"/>
      <c r="N30" s="211"/>
      <c r="O30" s="137"/>
      <c r="P30" s="4"/>
      <c r="Q30" s="5"/>
      <c r="R30" s="137"/>
      <c r="S30" s="5"/>
      <c r="T30" s="137"/>
      <c r="U30" s="4"/>
      <c r="V30" s="137"/>
      <c r="W30" s="4"/>
      <c r="X30" s="4"/>
      <c r="Y30" s="5"/>
      <c r="Z30" s="137"/>
      <c r="AA30" s="5"/>
      <c r="AB30" s="154"/>
      <c r="AC30" s="155"/>
      <c r="AD30" s="123"/>
      <c r="AE30" s="121"/>
      <c r="AF30" s="248"/>
    </row>
    <row r="31" spans="1:32" x14ac:dyDescent="0.3">
      <c r="A31" s="115"/>
      <c r="B31" s="137"/>
      <c r="C31" s="4"/>
      <c r="D31" s="4"/>
      <c r="E31" s="4"/>
      <c r="F31" s="126"/>
      <c r="G31" s="146"/>
      <c r="H31" s="6"/>
      <c r="I31" s="119" t="str">
        <f t="shared" si="0"/>
        <v>No</v>
      </c>
      <c r="J31" s="145"/>
      <c r="K31" s="236"/>
      <c r="L31" s="146"/>
      <c r="M31" s="4"/>
      <c r="N31" s="211"/>
      <c r="O31" s="137"/>
      <c r="P31" s="4"/>
      <c r="Q31" s="5"/>
      <c r="R31" s="137"/>
      <c r="S31" s="5"/>
      <c r="T31" s="137"/>
      <c r="U31" s="4"/>
      <c r="V31" s="137"/>
      <c r="W31" s="4"/>
      <c r="X31" s="4"/>
      <c r="Y31" s="5"/>
      <c r="Z31" s="137"/>
      <c r="AA31" s="5"/>
      <c r="AB31" s="154"/>
      <c r="AC31" s="155"/>
      <c r="AD31" s="123"/>
      <c r="AE31" s="121"/>
      <c r="AF31" s="248"/>
    </row>
    <row r="32" spans="1:32" x14ac:dyDescent="0.3">
      <c r="A32" s="115"/>
      <c r="B32" s="137"/>
      <c r="C32" s="4"/>
      <c r="D32" s="4"/>
      <c r="E32" s="4"/>
      <c r="F32" s="126"/>
      <c r="G32" s="146"/>
      <c r="H32" s="6"/>
      <c r="I32" s="119" t="str">
        <f t="shared" si="0"/>
        <v>No</v>
      </c>
      <c r="J32" s="145"/>
      <c r="K32" s="236"/>
      <c r="L32" s="146"/>
      <c r="M32" s="4"/>
      <c r="N32" s="211"/>
      <c r="O32" s="137"/>
      <c r="P32" s="4"/>
      <c r="Q32" s="5"/>
      <c r="R32" s="137"/>
      <c r="S32" s="5"/>
      <c r="T32" s="137"/>
      <c r="U32" s="4"/>
      <c r="V32" s="137"/>
      <c r="W32" s="4"/>
      <c r="X32" s="4"/>
      <c r="Y32" s="5"/>
      <c r="Z32" s="137"/>
      <c r="AA32" s="5"/>
      <c r="AB32" s="154"/>
      <c r="AC32" s="155"/>
      <c r="AD32" s="123"/>
      <c r="AE32" s="121"/>
      <c r="AF32" s="248"/>
    </row>
    <row r="33" spans="1:32" x14ac:dyDescent="0.3">
      <c r="A33" s="115"/>
      <c r="B33" s="137"/>
      <c r="C33" s="4"/>
      <c r="D33" s="4"/>
      <c r="E33" s="4"/>
      <c r="F33" s="126"/>
      <c r="G33" s="146"/>
      <c r="H33" s="6"/>
      <c r="I33" s="119" t="str">
        <f t="shared" si="0"/>
        <v>No</v>
      </c>
      <c r="J33" s="145"/>
      <c r="K33" s="236"/>
      <c r="L33" s="146"/>
      <c r="M33" s="4"/>
      <c r="N33" s="211"/>
      <c r="O33" s="137"/>
      <c r="P33" s="4"/>
      <c r="Q33" s="5"/>
      <c r="R33" s="137"/>
      <c r="S33" s="5"/>
      <c r="T33" s="137"/>
      <c r="U33" s="4"/>
      <c r="V33" s="137"/>
      <c r="W33" s="4"/>
      <c r="X33" s="4"/>
      <c r="Y33" s="5"/>
      <c r="Z33" s="137"/>
      <c r="AA33" s="5"/>
      <c r="AB33" s="154"/>
      <c r="AC33" s="155"/>
      <c r="AD33" s="123"/>
      <c r="AE33" s="121"/>
      <c r="AF33" s="248"/>
    </row>
    <row r="34" spans="1:32" x14ac:dyDescent="0.3">
      <c r="A34" s="115"/>
      <c r="B34" s="137"/>
      <c r="C34" s="4"/>
      <c r="D34" s="4"/>
      <c r="E34" s="4"/>
      <c r="F34" s="126"/>
      <c r="G34" s="146"/>
      <c r="H34" s="6"/>
      <c r="I34" s="119" t="str">
        <f t="shared" si="0"/>
        <v>No</v>
      </c>
      <c r="J34" s="145"/>
      <c r="K34" s="236"/>
      <c r="L34" s="146"/>
      <c r="M34" s="4"/>
      <c r="N34" s="211"/>
      <c r="O34" s="137"/>
      <c r="P34" s="4"/>
      <c r="Q34" s="5"/>
      <c r="R34" s="137"/>
      <c r="S34" s="5"/>
      <c r="T34" s="137"/>
      <c r="U34" s="4"/>
      <c r="V34" s="137"/>
      <c r="W34" s="4"/>
      <c r="X34" s="4"/>
      <c r="Y34" s="5"/>
      <c r="Z34" s="137"/>
      <c r="AA34" s="5"/>
      <c r="AB34" s="154"/>
      <c r="AC34" s="155"/>
      <c r="AD34" s="123"/>
      <c r="AE34" s="121"/>
      <c r="AF34" s="248"/>
    </row>
    <row r="35" spans="1:32" x14ac:dyDescent="0.3">
      <c r="A35" s="115"/>
      <c r="B35" s="137"/>
      <c r="C35" s="4"/>
      <c r="D35" s="4"/>
      <c r="E35" s="4"/>
      <c r="F35" s="126"/>
      <c r="G35" s="146"/>
      <c r="H35" s="6"/>
      <c r="I35" s="119" t="str">
        <f t="shared" si="0"/>
        <v>No</v>
      </c>
      <c r="J35" s="145"/>
      <c r="K35" s="236"/>
      <c r="L35" s="146"/>
      <c r="M35" s="4"/>
      <c r="N35" s="211"/>
      <c r="O35" s="137"/>
      <c r="P35" s="4"/>
      <c r="Q35" s="5"/>
      <c r="R35" s="137"/>
      <c r="S35" s="5"/>
      <c r="T35" s="137"/>
      <c r="U35" s="4"/>
      <c r="V35" s="137"/>
      <c r="W35" s="4"/>
      <c r="X35" s="4"/>
      <c r="Y35" s="5"/>
      <c r="Z35" s="137"/>
      <c r="AA35" s="5"/>
      <c r="AB35" s="154"/>
      <c r="AC35" s="155"/>
      <c r="AD35" s="123"/>
      <c r="AE35" s="121"/>
      <c r="AF35" s="248"/>
    </row>
    <row r="36" spans="1:32" x14ac:dyDescent="0.3">
      <c r="A36" s="115"/>
      <c r="B36" s="137"/>
      <c r="C36" s="4"/>
      <c r="D36" s="4"/>
      <c r="E36" s="4"/>
      <c r="F36" s="126"/>
      <c r="G36" s="146"/>
      <c r="H36" s="6"/>
      <c r="I36" s="119" t="str">
        <f t="shared" si="0"/>
        <v>No</v>
      </c>
      <c r="J36" s="137"/>
      <c r="K36" s="123"/>
      <c r="L36" s="4"/>
      <c r="M36" s="4"/>
      <c r="N36" s="211"/>
      <c r="O36" s="137"/>
      <c r="P36" s="4"/>
      <c r="Q36" s="5"/>
      <c r="R36" s="137"/>
      <c r="S36" s="5"/>
      <c r="T36" s="137"/>
      <c r="U36" s="120"/>
      <c r="V36" s="148"/>
      <c r="W36" s="120"/>
      <c r="X36" s="120"/>
      <c r="Y36" s="147"/>
      <c r="Z36" s="148"/>
      <c r="AA36" s="147"/>
      <c r="AB36" s="149"/>
      <c r="AC36" s="150"/>
      <c r="AD36" s="117"/>
      <c r="AE36" s="121"/>
      <c r="AF36" s="248"/>
    </row>
    <row r="37" spans="1:32" x14ac:dyDescent="0.3">
      <c r="A37" s="115"/>
      <c r="B37" s="137"/>
      <c r="C37" s="4"/>
      <c r="D37" s="4"/>
      <c r="E37" s="4"/>
      <c r="F37" s="126"/>
      <c r="G37" s="146"/>
      <c r="H37" s="6"/>
      <c r="I37" s="119" t="str">
        <f t="shared" si="0"/>
        <v>No</v>
      </c>
      <c r="J37" s="137"/>
      <c r="K37" s="123"/>
      <c r="L37" s="4"/>
      <c r="M37" s="4"/>
      <c r="N37" s="211"/>
      <c r="O37" s="137"/>
      <c r="P37" s="4"/>
      <c r="Q37" s="5"/>
      <c r="R37" s="137"/>
      <c r="S37" s="5"/>
      <c r="T37" s="137"/>
      <c r="U37" s="120"/>
      <c r="V37" s="148"/>
      <c r="W37" s="120"/>
      <c r="X37" s="120"/>
      <c r="Y37" s="147"/>
      <c r="Z37" s="148"/>
      <c r="AA37" s="147"/>
      <c r="AB37" s="149"/>
      <c r="AC37" s="150"/>
      <c r="AD37" s="117"/>
      <c r="AE37" s="121"/>
      <c r="AF37" s="248"/>
    </row>
    <row r="38" spans="1:32" x14ac:dyDescent="0.3">
      <c r="A38" s="115"/>
      <c r="B38" s="137"/>
      <c r="C38" s="4"/>
      <c r="D38" s="4"/>
      <c r="E38" s="4"/>
      <c r="F38" s="126"/>
      <c r="G38" s="146"/>
      <c r="H38" s="6"/>
      <c r="I38" s="119" t="str">
        <f t="shared" ref="I38:I69" si="2">IF(H38&gt;=37.8,"Yes","No")</f>
        <v>No</v>
      </c>
      <c r="J38" s="137"/>
      <c r="K38" s="123"/>
      <c r="L38" s="4"/>
      <c r="M38" s="4"/>
      <c r="N38" s="211"/>
      <c r="O38" s="137"/>
      <c r="P38" s="4"/>
      <c r="Q38" s="5"/>
      <c r="R38" s="137"/>
      <c r="S38" s="5"/>
      <c r="T38" s="137"/>
      <c r="U38" s="120"/>
      <c r="V38" s="148"/>
      <c r="W38" s="120"/>
      <c r="X38" s="120"/>
      <c r="Y38" s="147"/>
      <c r="Z38" s="148"/>
      <c r="AA38" s="147"/>
      <c r="AB38" s="149"/>
      <c r="AC38" s="150"/>
      <c r="AD38" s="117"/>
      <c r="AE38" s="121"/>
      <c r="AF38" s="248"/>
    </row>
    <row r="39" spans="1:32" x14ac:dyDescent="0.3">
      <c r="A39" s="115"/>
      <c r="B39" s="137"/>
      <c r="C39" s="4"/>
      <c r="D39" s="4"/>
      <c r="E39" s="4"/>
      <c r="F39" s="126"/>
      <c r="G39" s="146"/>
      <c r="H39" s="6"/>
      <c r="I39" s="119" t="str">
        <f t="shared" si="2"/>
        <v>No</v>
      </c>
      <c r="J39" s="137"/>
      <c r="K39" s="123"/>
      <c r="L39" s="4"/>
      <c r="M39" s="4"/>
      <c r="N39" s="211"/>
      <c r="O39" s="137"/>
      <c r="P39" s="4"/>
      <c r="Q39" s="5"/>
      <c r="R39" s="137"/>
      <c r="S39" s="5"/>
      <c r="T39" s="137"/>
      <c r="U39" s="120"/>
      <c r="V39" s="148"/>
      <c r="W39" s="120"/>
      <c r="X39" s="120"/>
      <c r="Y39" s="147"/>
      <c r="Z39" s="148"/>
      <c r="AA39" s="147"/>
      <c r="AB39" s="149"/>
      <c r="AC39" s="150"/>
      <c r="AD39" s="117"/>
      <c r="AE39" s="121"/>
      <c r="AF39" s="248"/>
    </row>
    <row r="40" spans="1:32" x14ac:dyDescent="0.3">
      <c r="A40" s="115"/>
      <c r="B40" s="137"/>
      <c r="C40" s="4"/>
      <c r="D40" s="4"/>
      <c r="E40" s="4"/>
      <c r="F40" s="126"/>
      <c r="G40" s="146"/>
      <c r="H40" s="6"/>
      <c r="I40" s="119" t="str">
        <f t="shared" si="2"/>
        <v>No</v>
      </c>
      <c r="J40" s="137"/>
      <c r="K40" s="123"/>
      <c r="L40" s="4"/>
      <c r="M40" s="4"/>
      <c r="N40" s="211"/>
      <c r="O40" s="137"/>
      <c r="P40" s="4"/>
      <c r="Q40" s="5"/>
      <c r="R40" s="137"/>
      <c r="S40" s="5"/>
      <c r="T40" s="137"/>
      <c r="U40" s="120"/>
      <c r="V40" s="148"/>
      <c r="W40" s="120"/>
      <c r="X40" s="120"/>
      <c r="Y40" s="147"/>
      <c r="Z40" s="148"/>
      <c r="AA40" s="147"/>
      <c r="AB40" s="149"/>
      <c r="AC40" s="150"/>
      <c r="AD40" s="117"/>
      <c r="AE40" s="121"/>
      <c r="AF40" s="248"/>
    </row>
    <row r="41" spans="1:32" x14ac:dyDescent="0.3">
      <c r="A41" s="115"/>
      <c r="B41" s="137"/>
      <c r="C41" s="4"/>
      <c r="D41" s="4"/>
      <c r="E41" s="4"/>
      <c r="F41" s="126"/>
      <c r="G41" s="146"/>
      <c r="H41" s="6"/>
      <c r="I41" s="119" t="str">
        <f t="shared" si="2"/>
        <v>No</v>
      </c>
      <c r="J41" s="137"/>
      <c r="K41" s="123"/>
      <c r="L41" s="4"/>
      <c r="M41" s="4"/>
      <c r="N41" s="211"/>
      <c r="O41" s="137"/>
      <c r="P41" s="4"/>
      <c r="Q41" s="5"/>
      <c r="R41" s="137"/>
      <c r="S41" s="5"/>
      <c r="T41" s="137"/>
      <c r="U41" s="120"/>
      <c r="V41" s="148"/>
      <c r="W41" s="120"/>
      <c r="X41" s="120"/>
      <c r="Y41" s="147"/>
      <c r="Z41" s="148"/>
      <c r="AA41" s="147"/>
      <c r="AB41" s="149"/>
      <c r="AC41" s="150"/>
      <c r="AD41" s="123"/>
      <c r="AE41" s="121"/>
      <c r="AF41" s="248"/>
    </row>
    <row r="42" spans="1:32" x14ac:dyDescent="0.3">
      <c r="A42" s="115"/>
      <c r="B42" s="137"/>
      <c r="C42" s="4"/>
      <c r="D42" s="4"/>
      <c r="E42" s="4"/>
      <c r="F42" s="126"/>
      <c r="G42" s="146"/>
      <c r="H42" s="6"/>
      <c r="I42" s="119" t="str">
        <f t="shared" si="2"/>
        <v>No</v>
      </c>
      <c r="J42" s="137"/>
      <c r="K42" s="123"/>
      <c r="L42" s="4"/>
      <c r="M42" s="4"/>
      <c r="N42" s="211"/>
      <c r="O42" s="137"/>
      <c r="P42" s="4"/>
      <c r="Q42" s="5"/>
      <c r="R42" s="137"/>
      <c r="S42" s="5"/>
      <c r="T42" s="137"/>
      <c r="U42" s="120"/>
      <c r="V42" s="148"/>
      <c r="W42" s="120"/>
      <c r="X42" s="120"/>
      <c r="Y42" s="147"/>
      <c r="Z42" s="148"/>
      <c r="AA42" s="147"/>
      <c r="AB42" s="149"/>
      <c r="AC42" s="150"/>
      <c r="AD42" s="123"/>
      <c r="AE42" s="121"/>
      <c r="AF42" s="248"/>
    </row>
    <row r="43" spans="1:32" x14ac:dyDescent="0.3">
      <c r="A43" s="115"/>
      <c r="B43" s="137"/>
      <c r="C43" s="4"/>
      <c r="D43" s="4"/>
      <c r="E43" s="4"/>
      <c r="F43" s="126"/>
      <c r="G43" s="146"/>
      <c r="H43" s="6"/>
      <c r="I43" s="119" t="str">
        <f t="shared" si="2"/>
        <v>No</v>
      </c>
      <c r="J43" s="137"/>
      <c r="K43" s="123"/>
      <c r="L43" s="4"/>
      <c r="M43" s="4"/>
      <c r="N43" s="211"/>
      <c r="O43" s="137"/>
      <c r="P43" s="4"/>
      <c r="Q43" s="5"/>
      <c r="R43" s="137"/>
      <c r="S43" s="5"/>
      <c r="T43" s="137"/>
      <c r="U43" s="120"/>
      <c r="V43" s="148"/>
      <c r="W43" s="120"/>
      <c r="X43" s="120"/>
      <c r="Y43" s="147"/>
      <c r="Z43" s="148"/>
      <c r="AA43" s="147"/>
      <c r="AB43" s="149"/>
      <c r="AC43" s="150"/>
      <c r="AD43" s="123"/>
      <c r="AE43" s="121"/>
      <c r="AF43" s="248"/>
    </row>
    <row r="44" spans="1:32" x14ac:dyDescent="0.3">
      <c r="A44" s="115"/>
      <c r="B44" s="137"/>
      <c r="C44" s="4"/>
      <c r="D44" s="4"/>
      <c r="E44" s="4"/>
      <c r="F44" s="126"/>
      <c r="G44" s="206"/>
      <c r="H44" s="4"/>
      <c r="I44" s="119" t="str">
        <f t="shared" si="2"/>
        <v>No</v>
      </c>
      <c r="J44" s="137"/>
      <c r="K44" s="123"/>
      <c r="L44" s="4"/>
      <c r="M44" s="4"/>
      <c r="N44" s="211"/>
      <c r="O44" s="137"/>
      <c r="P44" s="4"/>
      <c r="Q44" s="5"/>
      <c r="R44" s="137"/>
      <c r="S44" s="5"/>
      <c r="T44" s="137"/>
      <c r="U44" s="120"/>
      <c r="V44" s="148"/>
      <c r="W44" s="120"/>
      <c r="X44" s="120"/>
      <c r="Y44" s="147"/>
      <c r="Z44" s="148"/>
      <c r="AA44" s="147"/>
      <c r="AB44" s="149"/>
      <c r="AC44" s="150"/>
      <c r="AD44" s="123"/>
      <c r="AE44" s="121"/>
      <c r="AF44" s="248"/>
    </row>
    <row r="45" spans="1:32" x14ac:dyDescent="0.3">
      <c r="A45" s="115"/>
      <c r="B45" s="137"/>
      <c r="C45" s="4"/>
      <c r="D45" s="4"/>
      <c r="E45" s="4"/>
      <c r="F45" s="126"/>
      <c r="G45" s="206"/>
      <c r="H45" s="4"/>
      <c r="I45" s="119" t="str">
        <f t="shared" si="2"/>
        <v>No</v>
      </c>
      <c r="J45" s="137"/>
      <c r="K45" s="123"/>
      <c r="L45" s="4"/>
      <c r="M45" s="4"/>
      <c r="N45" s="211"/>
      <c r="O45" s="137"/>
      <c r="P45" s="4"/>
      <c r="Q45" s="5"/>
      <c r="R45" s="137"/>
      <c r="S45" s="5"/>
      <c r="T45" s="137"/>
      <c r="U45" s="120"/>
      <c r="V45" s="148"/>
      <c r="W45" s="120"/>
      <c r="X45" s="120"/>
      <c r="Y45" s="147"/>
      <c r="Z45" s="148"/>
      <c r="AA45" s="147"/>
      <c r="AB45" s="149"/>
      <c r="AC45" s="150"/>
      <c r="AD45" s="123"/>
      <c r="AE45" s="121"/>
      <c r="AF45" s="248"/>
    </row>
    <row r="46" spans="1:32" x14ac:dyDescent="0.3">
      <c r="A46" s="115"/>
      <c r="B46" s="137"/>
      <c r="C46" s="4"/>
      <c r="D46" s="4"/>
      <c r="E46" s="4"/>
      <c r="F46" s="126"/>
      <c r="G46" s="206"/>
      <c r="H46" s="4"/>
      <c r="I46" s="119" t="str">
        <f t="shared" si="2"/>
        <v>No</v>
      </c>
      <c r="J46" s="137"/>
      <c r="K46" s="123"/>
      <c r="L46" s="4"/>
      <c r="M46" s="4"/>
      <c r="N46" s="211"/>
      <c r="O46" s="137"/>
      <c r="P46" s="4"/>
      <c r="Q46" s="5"/>
      <c r="R46" s="137"/>
      <c r="S46" s="5"/>
      <c r="T46" s="137"/>
      <c r="U46" s="120"/>
      <c r="V46" s="148"/>
      <c r="W46" s="120"/>
      <c r="X46" s="120"/>
      <c r="Y46" s="147"/>
      <c r="Z46" s="148"/>
      <c r="AA46" s="147"/>
      <c r="AB46" s="149"/>
      <c r="AC46" s="150"/>
      <c r="AD46" s="123"/>
      <c r="AE46" s="121"/>
      <c r="AF46" s="248"/>
    </row>
    <row r="47" spans="1:32" x14ac:dyDescent="0.3">
      <c r="A47" s="115"/>
      <c r="B47" s="137"/>
      <c r="C47" s="4"/>
      <c r="D47" s="4"/>
      <c r="E47" s="4"/>
      <c r="F47" s="126"/>
      <c r="G47" s="206"/>
      <c r="H47" s="4"/>
      <c r="I47" s="119" t="str">
        <f t="shared" si="2"/>
        <v>No</v>
      </c>
      <c r="J47" s="137"/>
      <c r="K47" s="123"/>
      <c r="L47" s="4"/>
      <c r="M47" s="4"/>
      <c r="N47" s="211"/>
      <c r="O47" s="137"/>
      <c r="P47" s="4"/>
      <c r="Q47" s="5"/>
      <c r="R47" s="137"/>
      <c r="S47" s="5"/>
      <c r="T47" s="137"/>
      <c r="U47" s="120"/>
      <c r="V47" s="148"/>
      <c r="W47" s="120"/>
      <c r="X47" s="120"/>
      <c r="Y47" s="147"/>
      <c r="Z47" s="148"/>
      <c r="AA47" s="147"/>
      <c r="AB47" s="149"/>
      <c r="AC47" s="150"/>
      <c r="AD47" s="123"/>
      <c r="AE47" s="121"/>
      <c r="AF47" s="248"/>
    </row>
    <row r="48" spans="1:32" x14ac:dyDescent="0.3">
      <c r="A48" s="115"/>
      <c r="B48" s="137"/>
      <c r="C48" s="4"/>
      <c r="D48" s="4"/>
      <c r="E48" s="4"/>
      <c r="F48" s="126"/>
      <c r="G48" s="206"/>
      <c r="H48" s="4"/>
      <c r="I48" s="119" t="str">
        <f t="shared" si="2"/>
        <v>No</v>
      </c>
      <c r="J48" s="137"/>
      <c r="K48" s="123"/>
      <c r="L48" s="4"/>
      <c r="M48" s="4"/>
      <c r="N48" s="211"/>
      <c r="O48" s="137"/>
      <c r="P48" s="4"/>
      <c r="Q48" s="5"/>
      <c r="R48" s="137"/>
      <c r="S48" s="5"/>
      <c r="T48" s="137"/>
      <c r="U48" s="120"/>
      <c r="V48" s="148"/>
      <c r="W48" s="120"/>
      <c r="X48" s="120"/>
      <c r="Y48" s="147"/>
      <c r="Z48" s="148"/>
      <c r="AA48" s="147"/>
      <c r="AB48" s="149"/>
      <c r="AC48" s="150"/>
      <c r="AD48" s="123"/>
      <c r="AE48" s="121"/>
      <c r="AF48" s="248"/>
    </row>
    <row r="49" spans="1:32" x14ac:dyDescent="0.3">
      <c r="A49" s="115"/>
      <c r="B49" s="137"/>
      <c r="C49" s="4"/>
      <c r="D49" s="4"/>
      <c r="E49" s="4"/>
      <c r="F49" s="126"/>
      <c r="G49" s="206"/>
      <c r="H49" s="4"/>
      <c r="I49" s="119" t="str">
        <f t="shared" si="2"/>
        <v>No</v>
      </c>
      <c r="J49" s="137"/>
      <c r="K49" s="123"/>
      <c r="L49" s="4"/>
      <c r="M49" s="4"/>
      <c r="N49" s="211"/>
      <c r="O49" s="137"/>
      <c r="P49" s="4"/>
      <c r="Q49" s="5"/>
      <c r="R49" s="137"/>
      <c r="S49" s="5"/>
      <c r="T49" s="137"/>
      <c r="U49" s="120"/>
      <c r="V49" s="148"/>
      <c r="W49" s="120"/>
      <c r="X49" s="120"/>
      <c r="Y49" s="147"/>
      <c r="Z49" s="148"/>
      <c r="AA49" s="147"/>
      <c r="AB49" s="149"/>
      <c r="AC49" s="150"/>
      <c r="AD49" s="123"/>
      <c r="AE49" s="121"/>
      <c r="AF49" s="248"/>
    </row>
    <row r="50" spans="1:32" x14ac:dyDescent="0.3">
      <c r="A50" s="115"/>
      <c r="B50" s="137"/>
      <c r="C50" s="4"/>
      <c r="D50" s="4"/>
      <c r="E50" s="4"/>
      <c r="F50" s="126"/>
      <c r="G50" s="206"/>
      <c r="H50" s="4"/>
      <c r="I50" s="119" t="str">
        <f t="shared" si="2"/>
        <v>No</v>
      </c>
      <c r="J50" s="137"/>
      <c r="K50" s="123"/>
      <c r="L50" s="4"/>
      <c r="M50" s="4"/>
      <c r="N50" s="211"/>
      <c r="O50" s="137"/>
      <c r="P50" s="4"/>
      <c r="Q50" s="5"/>
      <c r="R50" s="137"/>
      <c r="S50" s="5"/>
      <c r="T50" s="137"/>
      <c r="U50" s="4"/>
      <c r="V50" s="137"/>
      <c r="W50" s="4"/>
      <c r="X50" s="4"/>
      <c r="Y50" s="5"/>
      <c r="Z50" s="137"/>
      <c r="AA50" s="5"/>
      <c r="AB50" s="154"/>
      <c r="AC50" s="155"/>
      <c r="AD50" s="123"/>
      <c r="AE50" s="121"/>
      <c r="AF50" s="248"/>
    </row>
    <row r="51" spans="1:32" x14ac:dyDescent="0.3">
      <c r="A51" s="115"/>
      <c r="B51" s="137"/>
      <c r="C51" s="4"/>
      <c r="D51" s="4"/>
      <c r="E51" s="4"/>
      <c r="F51" s="126"/>
      <c r="G51" s="206"/>
      <c r="H51" s="4"/>
      <c r="I51" s="119" t="str">
        <f t="shared" si="2"/>
        <v>No</v>
      </c>
      <c r="J51" s="137"/>
      <c r="K51" s="123"/>
      <c r="L51" s="4"/>
      <c r="M51" s="4"/>
      <c r="N51" s="211"/>
      <c r="O51" s="137"/>
      <c r="P51" s="4"/>
      <c r="Q51" s="5"/>
      <c r="R51" s="137"/>
      <c r="S51" s="5"/>
      <c r="T51" s="137"/>
      <c r="U51" s="4"/>
      <c r="V51" s="137"/>
      <c r="W51" s="4"/>
      <c r="X51" s="4"/>
      <c r="Y51" s="5"/>
      <c r="Z51" s="137"/>
      <c r="AA51" s="5"/>
      <c r="AB51" s="154"/>
      <c r="AC51" s="155"/>
      <c r="AD51" s="123"/>
      <c r="AE51" s="121"/>
      <c r="AF51" s="248"/>
    </row>
    <row r="52" spans="1:32" x14ac:dyDescent="0.3">
      <c r="A52" s="115"/>
      <c r="B52" s="137"/>
      <c r="C52" s="4"/>
      <c r="D52" s="4"/>
      <c r="E52" s="4"/>
      <c r="F52" s="126"/>
      <c r="G52" s="206"/>
      <c r="H52" s="4"/>
      <c r="I52" s="119" t="str">
        <f t="shared" si="2"/>
        <v>No</v>
      </c>
      <c r="J52" s="137"/>
      <c r="K52" s="123"/>
      <c r="L52" s="4"/>
      <c r="M52" s="4"/>
      <c r="N52" s="211"/>
      <c r="O52" s="137"/>
      <c r="P52" s="4"/>
      <c r="Q52" s="5"/>
      <c r="R52" s="137"/>
      <c r="S52" s="5"/>
      <c r="T52" s="137"/>
      <c r="U52" s="4"/>
      <c r="V52" s="137"/>
      <c r="W52" s="4"/>
      <c r="X52" s="4"/>
      <c r="Y52" s="5"/>
      <c r="Z52" s="137"/>
      <c r="AA52" s="5"/>
      <c r="AB52" s="154"/>
      <c r="AC52" s="155"/>
      <c r="AD52" s="123"/>
      <c r="AE52" s="121"/>
      <c r="AF52" s="248"/>
    </row>
    <row r="53" spans="1:32" x14ac:dyDescent="0.3">
      <c r="A53" s="115"/>
      <c r="B53" s="137"/>
      <c r="C53" s="4"/>
      <c r="D53" s="4"/>
      <c r="E53" s="4"/>
      <c r="F53" s="126"/>
      <c r="G53" s="206"/>
      <c r="H53" s="4"/>
      <c r="I53" s="119" t="str">
        <f t="shared" si="2"/>
        <v>No</v>
      </c>
      <c r="J53" s="137"/>
      <c r="K53" s="123"/>
      <c r="L53" s="4"/>
      <c r="M53" s="4"/>
      <c r="N53" s="211"/>
      <c r="O53" s="137"/>
      <c r="P53" s="4"/>
      <c r="Q53" s="5"/>
      <c r="R53" s="137"/>
      <c r="S53" s="5"/>
      <c r="T53" s="137"/>
      <c r="U53" s="4"/>
      <c r="V53" s="137"/>
      <c r="W53" s="4"/>
      <c r="X53" s="4"/>
      <c r="Y53" s="5"/>
      <c r="Z53" s="137"/>
      <c r="AA53" s="5"/>
      <c r="AB53" s="154"/>
      <c r="AC53" s="155"/>
      <c r="AD53" s="123"/>
      <c r="AE53" s="121"/>
      <c r="AF53" s="248"/>
    </row>
    <row r="54" spans="1:32" x14ac:dyDescent="0.3">
      <c r="A54" s="115"/>
      <c r="B54" s="137"/>
      <c r="C54" s="4"/>
      <c r="D54" s="4"/>
      <c r="E54" s="4"/>
      <c r="F54" s="126"/>
      <c r="G54" s="206"/>
      <c r="H54" s="4"/>
      <c r="I54" s="119" t="str">
        <f t="shared" si="2"/>
        <v>No</v>
      </c>
      <c r="J54" s="137"/>
      <c r="K54" s="123"/>
      <c r="L54" s="4"/>
      <c r="M54" s="4"/>
      <c r="N54" s="211"/>
      <c r="O54" s="137"/>
      <c r="P54" s="4"/>
      <c r="Q54" s="5"/>
      <c r="R54" s="137"/>
      <c r="S54" s="5"/>
      <c r="T54" s="137"/>
      <c r="U54" s="4"/>
      <c r="V54" s="137"/>
      <c r="W54" s="4"/>
      <c r="X54" s="4"/>
      <c r="Y54" s="5"/>
      <c r="Z54" s="137"/>
      <c r="AA54" s="5"/>
      <c r="AB54" s="154"/>
      <c r="AC54" s="155"/>
      <c r="AD54" s="123"/>
      <c r="AE54" s="121"/>
      <c r="AF54" s="248"/>
    </row>
    <row r="55" spans="1:32" x14ac:dyDescent="0.3">
      <c r="A55" s="115"/>
      <c r="B55" s="137"/>
      <c r="C55" s="4"/>
      <c r="D55" s="4"/>
      <c r="E55" s="4"/>
      <c r="F55" s="126"/>
      <c r="G55" s="206"/>
      <c r="H55" s="4"/>
      <c r="I55" s="119" t="str">
        <f t="shared" si="2"/>
        <v>No</v>
      </c>
      <c r="J55" s="137"/>
      <c r="K55" s="123"/>
      <c r="L55" s="4"/>
      <c r="M55" s="4"/>
      <c r="N55" s="211"/>
      <c r="O55" s="137"/>
      <c r="P55" s="4"/>
      <c r="Q55" s="5"/>
      <c r="R55" s="137"/>
      <c r="S55" s="5"/>
      <c r="T55" s="137"/>
      <c r="U55" s="4"/>
      <c r="V55" s="137"/>
      <c r="W55" s="4"/>
      <c r="X55" s="4"/>
      <c r="Y55" s="5"/>
      <c r="Z55" s="137"/>
      <c r="AA55" s="5"/>
      <c r="AB55" s="154"/>
      <c r="AC55" s="155"/>
      <c r="AD55" s="123"/>
      <c r="AE55" s="121"/>
      <c r="AF55" s="248"/>
    </row>
    <row r="56" spans="1:32" x14ac:dyDescent="0.3">
      <c r="A56" s="115"/>
      <c r="B56" s="137"/>
      <c r="C56" s="4"/>
      <c r="D56" s="4"/>
      <c r="E56" s="4"/>
      <c r="F56" s="126"/>
      <c r="G56" s="206"/>
      <c r="H56" s="4"/>
      <c r="I56" s="119" t="str">
        <f t="shared" si="2"/>
        <v>No</v>
      </c>
      <c r="J56" s="137"/>
      <c r="K56" s="123"/>
      <c r="L56" s="4"/>
      <c r="M56" s="4"/>
      <c r="N56" s="211"/>
      <c r="O56" s="137"/>
      <c r="P56" s="4"/>
      <c r="Q56" s="5"/>
      <c r="R56" s="137"/>
      <c r="S56" s="5"/>
      <c r="T56" s="137"/>
      <c r="U56" s="4"/>
      <c r="V56" s="137"/>
      <c r="W56" s="4"/>
      <c r="X56" s="4"/>
      <c r="Y56" s="5"/>
      <c r="Z56" s="137"/>
      <c r="AA56" s="5"/>
      <c r="AB56" s="154"/>
      <c r="AC56" s="155"/>
      <c r="AD56" s="123"/>
      <c r="AE56" s="121"/>
      <c r="AF56" s="248"/>
    </row>
    <row r="57" spans="1:32" x14ac:dyDescent="0.3">
      <c r="A57" s="115"/>
      <c r="B57" s="137"/>
      <c r="C57" s="4"/>
      <c r="D57" s="4"/>
      <c r="E57" s="4"/>
      <c r="F57" s="126"/>
      <c r="G57" s="206"/>
      <c r="H57" s="4"/>
      <c r="I57" s="119" t="str">
        <f t="shared" si="2"/>
        <v>No</v>
      </c>
      <c r="J57" s="137"/>
      <c r="K57" s="123"/>
      <c r="L57" s="4"/>
      <c r="M57" s="4"/>
      <c r="N57" s="211"/>
      <c r="O57" s="137"/>
      <c r="P57" s="4"/>
      <c r="Q57" s="5"/>
      <c r="R57" s="137"/>
      <c r="S57" s="5"/>
      <c r="T57" s="137"/>
      <c r="U57" s="4"/>
      <c r="V57" s="137"/>
      <c r="W57" s="4"/>
      <c r="X57" s="4"/>
      <c r="Y57" s="5"/>
      <c r="Z57" s="137"/>
      <c r="AA57" s="5"/>
      <c r="AB57" s="154"/>
      <c r="AC57" s="155"/>
      <c r="AD57" s="123"/>
      <c r="AE57" s="121"/>
      <c r="AF57" s="248"/>
    </row>
    <row r="58" spans="1:32" x14ac:dyDescent="0.3">
      <c r="A58" s="115"/>
      <c r="B58" s="137"/>
      <c r="C58" s="4"/>
      <c r="D58" s="4"/>
      <c r="E58" s="4"/>
      <c r="F58" s="126"/>
      <c r="G58" s="206"/>
      <c r="H58" s="4"/>
      <c r="I58" s="119" t="str">
        <f t="shared" si="2"/>
        <v>No</v>
      </c>
      <c r="J58" s="137"/>
      <c r="K58" s="123"/>
      <c r="L58" s="4"/>
      <c r="M58" s="4"/>
      <c r="N58" s="211"/>
      <c r="O58" s="137"/>
      <c r="P58" s="4"/>
      <c r="Q58" s="5"/>
      <c r="R58" s="137"/>
      <c r="S58" s="5"/>
      <c r="T58" s="137"/>
      <c r="U58" s="4"/>
      <c r="V58" s="137"/>
      <c r="W58" s="4"/>
      <c r="X58" s="4"/>
      <c r="Y58" s="5"/>
      <c r="Z58" s="137"/>
      <c r="AA58" s="5"/>
      <c r="AB58" s="154"/>
      <c r="AC58" s="155"/>
      <c r="AD58" s="123"/>
      <c r="AE58" s="121"/>
      <c r="AF58" s="248"/>
    </row>
    <row r="59" spans="1:32" x14ac:dyDescent="0.3">
      <c r="A59" s="115"/>
      <c r="B59" s="137"/>
      <c r="C59" s="4"/>
      <c r="D59" s="4"/>
      <c r="E59" s="4"/>
      <c r="F59" s="126"/>
      <c r="G59" s="206"/>
      <c r="H59" s="4"/>
      <c r="I59" s="119" t="str">
        <f t="shared" si="2"/>
        <v>No</v>
      </c>
      <c r="J59" s="137"/>
      <c r="K59" s="123"/>
      <c r="L59" s="4"/>
      <c r="M59" s="4"/>
      <c r="N59" s="211"/>
      <c r="O59" s="137"/>
      <c r="P59" s="4"/>
      <c r="Q59" s="5"/>
      <c r="R59" s="137"/>
      <c r="S59" s="5"/>
      <c r="T59" s="137"/>
      <c r="U59" s="4"/>
      <c r="V59" s="137"/>
      <c r="W59" s="4"/>
      <c r="X59" s="4"/>
      <c r="Y59" s="5"/>
      <c r="Z59" s="137"/>
      <c r="AA59" s="5"/>
      <c r="AB59" s="154"/>
      <c r="AC59" s="155"/>
      <c r="AD59" s="123"/>
      <c r="AE59" s="121"/>
      <c r="AF59" s="248"/>
    </row>
    <row r="60" spans="1:32" x14ac:dyDescent="0.3">
      <c r="A60" s="115"/>
      <c r="B60" s="137"/>
      <c r="C60" s="4"/>
      <c r="D60" s="4"/>
      <c r="E60" s="4"/>
      <c r="F60" s="126"/>
      <c r="G60" s="206"/>
      <c r="H60" s="4"/>
      <c r="I60" s="119" t="str">
        <f t="shared" si="2"/>
        <v>No</v>
      </c>
      <c r="J60" s="137"/>
      <c r="K60" s="123"/>
      <c r="L60" s="4"/>
      <c r="M60" s="4"/>
      <c r="N60" s="211"/>
      <c r="O60" s="137"/>
      <c r="P60" s="4"/>
      <c r="Q60" s="5"/>
      <c r="R60" s="137"/>
      <c r="S60" s="5"/>
      <c r="T60" s="137"/>
      <c r="U60" s="4"/>
      <c r="V60" s="137"/>
      <c r="W60" s="4"/>
      <c r="X60" s="4"/>
      <c r="Y60" s="5"/>
      <c r="Z60" s="137"/>
      <c r="AA60" s="5"/>
      <c r="AB60" s="154"/>
      <c r="AC60" s="155"/>
      <c r="AD60" s="123"/>
      <c r="AE60" s="121"/>
      <c r="AF60" s="248"/>
    </row>
    <row r="61" spans="1:32" x14ac:dyDescent="0.3">
      <c r="A61" s="115"/>
      <c r="B61" s="137"/>
      <c r="C61" s="4"/>
      <c r="D61" s="4"/>
      <c r="E61" s="4"/>
      <c r="F61" s="126"/>
      <c r="G61" s="206"/>
      <c r="H61" s="4"/>
      <c r="I61" s="119" t="str">
        <f t="shared" si="2"/>
        <v>No</v>
      </c>
      <c r="J61" s="137"/>
      <c r="K61" s="123"/>
      <c r="L61" s="4"/>
      <c r="M61" s="4"/>
      <c r="N61" s="211"/>
      <c r="O61" s="137"/>
      <c r="P61" s="4"/>
      <c r="Q61" s="5"/>
      <c r="R61" s="137"/>
      <c r="S61" s="5"/>
      <c r="T61" s="137"/>
      <c r="U61" s="4"/>
      <c r="V61" s="137"/>
      <c r="W61" s="4"/>
      <c r="X61" s="4"/>
      <c r="Y61" s="5"/>
      <c r="Z61" s="137"/>
      <c r="AA61" s="5"/>
      <c r="AB61" s="154"/>
      <c r="AC61" s="155"/>
      <c r="AD61" s="123"/>
      <c r="AE61" s="121"/>
      <c r="AF61" s="248"/>
    </row>
    <row r="62" spans="1:32" x14ac:dyDescent="0.3">
      <c r="A62" s="115"/>
      <c r="B62" s="137"/>
      <c r="C62" s="4"/>
      <c r="D62" s="4"/>
      <c r="E62" s="4"/>
      <c r="F62" s="126"/>
      <c r="G62" s="206"/>
      <c r="H62" s="4"/>
      <c r="I62" s="119" t="str">
        <f t="shared" si="2"/>
        <v>No</v>
      </c>
      <c r="J62" s="137"/>
      <c r="K62" s="123"/>
      <c r="L62" s="4"/>
      <c r="M62" s="4"/>
      <c r="N62" s="211"/>
      <c r="O62" s="137"/>
      <c r="P62" s="4"/>
      <c r="Q62" s="5"/>
      <c r="R62" s="137"/>
      <c r="S62" s="5"/>
      <c r="T62" s="137"/>
      <c r="U62" s="4"/>
      <c r="V62" s="137"/>
      <c r="W62" s="4"/>
      <c r="X62" s="4"/>
      <c r="Y62" s="5"/>
      <c r="Z62" s="137"/>
      <c r="AA62" s="5"/>
      <c r="AB62" s="154"/>
      <c r="AC62" s="155"/>
      <c r="AD62" s="123"/>
      <c r="AE62" s="121"/>
      <c r="AF62" s="248"/>
    </row>
    <row r="63" spans="1:32" x14ac:dyDescent="0.3">
      <c r="A63" s="115"/>
      <c r="B63" s="137"/>
      <c r="C63" s="4"/>
      <c r="D63" s="4"/>
      <c r="E63" s="4"/>
      <c r="F63" s="126"/>
      <c r="G63" s="206"/>
      <c r="H63" s="4"/>
      <c r="I63" s="119" t="str">
        <f t="shared" si="2"/>
        <v>No</v>
      </c>
      <c r="J63" s="137"/>
      <c r="K63" s="123"/>
      <c r="L63" s="4"/>
      <c r="M63" s="4"/>
      <c r="N63" s="211"/>
      <c r="O63" s="137"/>
      <c r="P63" s="4"/>
      <c r="Q63" s="5"/>
      <c r="R63" s="137"/>
      <c r="S63" s="5"/>
      <c r="T63" s="137"/>
      <c r="U63" s="4"/>
      <c r="V63" s="137"/>
      <c r="W63" s="4"/>
      <c r="X63" s="4"/>
      <c r="Y63" s="5"/>
      <c r="Z63" s="137"/>
      <c r="AA63" s="5"/>
      <c r="AB63" s="154"/>
      <c r="AC63" s="155"/>
      <c r="AD63" s="123"/>
      <c r="AE63" s="121"/>
      <c r="AF63" s="248"/>
    </row>
    <row r="64" spans="1:32" x14ac:dyDescent="0.3">
      <c r="A64" s="115"/>
      <c r="B64" s="137"/>
      <c r="C64" s="4"/>
      <c r="D64" s="4"/>
      <c r="E64" s="4"/>
      <c r="F64" s="126"/>
      <c r="G64" s="206"/>
      <c r="H64" s="4"/>
      <c r="I64" s="119" t="str">
        <f t="shared" si="2"/>
        <v>No</v>
      </c>
      <c r="J64" s="137"/>
      <c r="K64" s="123"/>
      <c r="L64" s="4"/>
      <c r="M64" s="4"/>
      <c r="N64" s="211"/>
      <c r="O64" s="137"/>
      <c r="P64" s="4"/>
      <c r="Q64" s="5"/>
      <c r="R64" s="137"/>
      <c r="S64" s="5"/>
      <c r="T64" s="137"/>
      <c r="U64" s="4"/>
      <c r="V64" s="137"/>
      <c r="W64" s="4"/>
      <c r="X64" s="4"/>
      <c r="Y64" s="5"/>
      <c r="Z64" s="137"/>
      <c r="AA64" s="5"/>
      <c r="AB64" s="154"/>
      <c r="AC64" s="155"/>
      <c r="AD64" s="123"/>
      <c r="AE64" s="121"/>
      <c r="AF64" s="248"/>
    </row>
    <row r="65" spans="1:32" x14ac:dyDescent="0.3">
      <c r="A65" s="115"/>
      <c r="B65" s="137"/>
      <c r="C65" s="4"/>
      <c r="D65" s="4"/>
      <c r="E65" s="4"/>
      <c r="F65" s="126"/>
      <c r="G65" s="206"/>
      <c r="H65" s="4"/>
      <c r="I65" s="119" t="str">
        <f t="shared" si="2"/>
        <v>No</v>
      </c>
      <c r="J65" s="137"/>
      <c r="K65" s="123"/>
      <c r="L65" s="4"/>
      <c r="M65" s="4"/>
      <c r="N65" s="211"/>
      <c r="O65" s="137"/>
      <c r="P65" s="156"/>
      <c r="Q65" s="157"/>
      <c r="R65" s="137"/>
      <c r="S65" s="5"/>
      <c r="T65" s="137"/>
      <c r="U65" s="4"/>
      <c r="V65" s="137"/>
      <c r="W65" s="4"/>
      <c r="X65" s="4"/>
      <c r="Y65" s="5"/>
      <c r="Z65" s="137"/>
      <c r="AA65" s="5"/>
      <c r="AB65" s="154"/>
      <c r="AC65" s="155"/>
      <c r="AD65" s="123"/>
      <c r="AE65" s="121"/>
      <c r="AF65" s="248"/>
    </row>
    <row r="66" spans="1:32" x14ac:dyDescent="0.3">
      <c r="A66" s="115"/>
      <c r="B66" s="137"/>
      <c r="C66" s="4"/>
      <c r="D66" s="4"/>
      <c r="E66" s="4"/>
      <c r="F66" s="126"/>
      <c r="G66" s="206"/>
      <c r="H66" s="4"/>
      <c r="I66" s="119" t="str">
        <f t="shared" si="2"/>
        <v>No</v>
      </c>
      <c r="J66" s="137"/>
      <c r="K66" s="123"/>
      <c r="L66" s="4"/>
      <c r="M66" s="4"/>
      <c r="N66" s="211"/>
      <c r="O66" s="137"/>
      <c r="P66" s="156"/>
      <c r="Q66" s="157"/>
      <c r="R66" s="137"/>
      <c r="S66" s="5"/>
      <c r="T66" s="137"/>
      <c r="U66" s="4"/>
      <c r="V66" s="137"/>
      <c r="W66" s="4"/>
      <c r="X66" s="4"/>
      <c r="Y66" s="5"/>
      <c r="Z66" s="137"/>
      <c r="AA66" s="5"/>
      <c r="AB66" s="154"/>
      <c r="AC66" s="155"/>
      <c r="AD66" s="123"/>
      <c r="AE66" s="121"/>
      <c r="AF66" s="248"/>
    </row>
    <row r="67" spans="1:32" x14ac:dyDescent="0.3">
      <c r="A67" s="115"/>
      <c r="B67" s="137"/>
      <c r="C67" s="4"/>
      <c r="D67" s="4"/>
      <c r="E67" s="4"/>
      <c r="F67" s="126"/>
      <c r="G67" s="206"/>
      <c r="H67" s="4"/>
      <c r="I67" s="119" t="str">
        <f t="shared" si="2"/>
        <v>No</v>
      </c>
      <c r="J67" s="137"/>
      <c r="K67" s="123"/>
      <c r="L67" s="4"/>
      <c r="M67" s="4"/>
      <c r="N67" s="211"/>
      <c r="O67" s="137"/>
      <c r="P67" s="156"/>
      <c r="Q67" s="157"/>
      <c r="R67" s="137"/>
      <c r="S67" s="5"/>
      <c r="T67" s="137"/>
      <c r="U67" s="4"/>
      <c r="V67" s="137"/>
      <c r="W67" s="4"/>
      <c r="X67" s="4"/>
      <c r="Y67" s="5"/>
      <c r="Z67" s="137"/>
      <c r="AA67" s="5"/>
      <c r="AB67" s="154"/>
      <c r="AC67" s="155"/>
      <c r="AD67" s="123"/>
      <c r="AE67" s="121"/>
      <c r="AF67" s="248"/>
    </row>
    <row r="68" spans="1:32" x14ac:dyDescent="0.3">
      <c r="A68" s="115"/>
      <c r="B68" s="137"/>
      <c r="C68" s="4"/>
      <c r="D68" s="4"/>
      <c r="E68" s="4"/>
      <c r="F68" s="126"/>
      <c r="G68" s="206"/>
      <c r="H68" s="4"/>
      <c r="I68" s="119" t="str">
        <f t="shared" si="2"/>
        <v>No</v>
      </c>
      <c r="J68" s="137"/>
      <c r="K68" s="123"/>
      <c r="L68" s="4"/>
      <c r="M68" s="4"/>
      <c r="N68" s="211"/>
      <c r="O68" s="137"/>
      <c r="P68" s="4"/>
      <c r="Q68" s="5"/>
      <c r="R68" s="137"/>
      <c r="S68" s="5"/>
      <c r="T68" s="137"/>
      <c r="U68" s="4"/>
      <c r="V68" s="137"/>
      <c r="W68" s="4"/>
      <c r="X68" s="4"/>
      <c r="Y68" s="5"/>
      <c r="Z68" s="137"/>
      <c r="AA68" s="5"/>
      <c r="AB68" s="154"/>
      <c r="AC68" s="155"/>
      <c r="AD68" s="123"/>
      <c r="AE68" s="121"/>
      <c r="AF68" s="248"/>
    </row>
    <row r="69" spans="1:32" x14ac:dyDescent="0.3">
      <c r="A69" s="115"/>
      <c r="B69" s="137"/>
      <c r="C69" s="4"/>
      <c r="D69" s="4"/>
      <c r="E69" s="4"/>
      <c r="F69" s="126"/>
      <c r="G69" s="206"/>
      <c r="H69" s="4"/>
      <c r="I69" s="119" t="str">
        <f t="shared" si="2"/>
        <v>No</v>
      </c>
      <c r="J69" s="137"/>
      <c r="K69" s="123"/>
      <c r="L69" s="4"/>
      <c r="M69" s="4"/>
      <c r="N69" s="211"/>
      <c r="O69" s="137"/>
      <c r="P69" s="4"/>
      <c r="Q69" s="5"/>
      <c r="R69" s="137"/>
      <c r="S69" s="5"/>
      <c r="T69" s="137"/>
      <c r="U69" s="4"/>
      <c r="V69" s="137"/>
      <c r="W69" s="4"/>
      <c r="X69" s="4"/>
      <c r="Y69" s="5"/>
      <c r="Z69" s="137"/>
      <c r="AA69" s="5"/>
      <c r="AB69" s="154"/>
      <c r="AC69" s="155"/>
      <c r="AD69" s="123"/>
      <c r="AE69" s="121"/>
      <c r="AF69" s="248"/>
    </row>
    <row r="70" spans="1:32" x14ac:dyDescent="0.3">
      <c r="A70" s="115"/>
      <c r="B70" s="137"/>
      <c r="C70" s="4"/>
      <c r="D70" s="4"/>
      <c r="E70" s="4"/>
      <c r="F70" s="126"/>
      <c r="G70" s="206"/>
      <c r="H70" s="4"/>
      <c r="I70" s="119" t="str">
        <f t="shared" ref="I70:I86" si="3">IF(H70&gt;=37.8,"Yes","No")</f>
        <v>No</v>
      </c>
      <c r="J70" s="137"/>
      <c r="K70" s="123"/>
      <c r="L70" s="4"/>
      <c r="M70" s="4"/>
      <c r="N70" s="211"/>
      <c r="O70" s="137"/>
      <c r="P70" s="4"/>
      <c r="Q70" s="5"/>
      <c r="R70" s="137"/>
      <c r="S70" s="5"/>
      <c r="T70" s="137"/>
      <c r="U70" s="4"/>
      <c r="V70" s="137"/>
      <c r="W70" s="4"/>
      <c r="X70" s="4"/>
      <c r="Y70" s="5"/>
      <c r="Z70" s="137"/>
      <c r="AA70" s="5"/>
      <c r="AB70" s="154"/>
      <c r="AC70" s="155"/>
      <c r="AD70" s="123"/>
      <c r="AE70" s="121"/>
      <c r="AF70" s="248"/>
    </row>
    <row r="71" spans="1:32" x14ac:dyDescent="0.3">
      <c r="A71" s="115"/>
      <c r="B71" s="137"/>
      <c r="C71" s="4"/>
      <c r="D71" s="4"/>
      <c r="E71" s="4"/>
      <c r="F71" s="126"/>
      <c r="G71" s="206"/>
      <c r="H71" s="4"/>
      <c r="I71" s="119" t="str">
        <f t="shared" si="3"/>
        <v>No</v>
      </c>
      <c r="J71" s="137"/>
      <c r="K71" s="123"/>
      <c r="L71" s="4"/>
      <c r="M71" s="4"/>
      <c r="N71" s="211"/>
      <c r="O71" s="137"/>
      <c r="P71" s="4"/>
      <c r="Q71" s="5"/>
      <c r="R71" s="137"/>
      <c r="S71" s="5"/>
      <c r="T71" s="137"/>
      <c r="U71" s="4"/>
      <c r="V71" s="137"/>
      <c r="W71" s="4"/>
      <c r="X71" s="4"/>
      <c r="Y71" s="5"/>
      <c r="Z71" s="137"/>
      <c r="AA71" s="5"/>
      <c r="AB71" s="154"/>
      <c r="AC71" s="155"/>
      <c r="AD71" s="123"/>
      <c r="AE71" s="121"/>
      <c r="AF71" s="248"/>
    </row>
    <row r="72" spans="1:32" x14ac:dyDescent="0.3">
      <c r="A72" s="115"/>
      <c r="B72" s="137"/>
      <c r="C72" s="4"/>
      <c r="D72" s="4"/>
      <c r="E72" s="4"/>
      <c r="F72" s="126"/>
      <c r="G72" s="206"/>
      <c r="H72" s="4"/>
      <c r="I72" s="119" t="str">
        <f t="shared" si="3"/>
        <v>No</v>
      </c>
      <c r="J72" s="137"/>
      <c r="K72" s="123"/>
      <c r="L72" s="4"/>
      <c r="M72" s="4"/>
      <c r="N72" s="211"/>
      <c r="O72" s="137"/>
      <c r="P72" s="4"/>
      <c r="Q72" s="5"/>
      <c r="R72" s="137"/>
      <c r="S72" s="5"/>
      <c r="T72" s="137"/>
      <c r="U72" s="4"/>
      <c r="V72" s="137"/>
      <c r="W72" s="4"/>
      <c r="X72" s="4"/>
      <c r="Y72" s="5"/>
      <c r="Z72" s="137"/>
      <c r="AA72" s="5"/>
      <c r="AB72" s="154"/>
      <c r="AC72" s="155"/>
      <c r="AD72" s="123"/>
      <c r="AE72" s="121"/>
      <c r="AF72" s="248"/>
    </row>
    <row r="73" spans="1:32" x14ac:dyDescent="0.3">
      <c r="A73" s="115"/>
      <c r="B73" s="137"/>
      <c r="C73" s="4"/>
      <c r="D73" s="4"/>
      <c r="E73" s="4"/>
      <c r="F73" s="126"/>
      <c r="G73" s="206"/>
      <c r="H73" s="4"/>
      <c r="I73" s="119" t="str">
        <f t="shared" si="3"/>
        <v>No</v>
      </c>
      <c r="J73" s="137"/>
      <c r="K73" s="123"/>
      <c r="L73" s="4"/>
      <c r="M73" s="4"/>
      <c r="N73" s="211"/>
      <c r="O73" s="137"/>
      <c r="P73" s="4"/>
      <c r="Q73" s="5"/>
      <c r="R73" s="137"/>
      <c r="S73" s="5"/>
      <c r="T73" s="137"/>
      <c r="U73" s="4"/>
      <c r="V73" s="137"/>
      <c r="W73" s="4"/>
      <c r="X73" s="4"/>
      <c r="Y73" s="5"/>
      <c r="Z73" s="137"/>
      <c r="AA73" s="5"/>
      <c r="AB73" s="154"/>
      <c r="AC73" s="155"/>
      <c r="AD73" s="123"/>
      <c r="AE73" s="121"/>
      <c r="AF73" s="248"/>
    </row>
    <row r="74" spans="1:32" x14ac:dyDescent="0.3">
      <c r="A74" s="115"/>
      <c r="B74" s="137"/>
      <c r="C74" s="4"/>
      <c r="D74" s="4"/>
      <c r="E74" s="4"/>
      <c r="F74" s="126"/>
      <c r="G74" s="206"/>
      <c r="H74" s="4"/>
      <c r="I74" s="119" t="str">
        <f t="shared" si="3"/>
        <v>No</v>
      </c>
      <c r="J74" s="137"/>
      <c r="K74" s="123"/>
      <c r="L74" s="4"/>
      <c r="M74" s="4"/>
      <c r="N74" s="211"/>
      <c r="O74" s="137"/>
      <c r="P74" s="4"/>
      <c r="Q74" s="5"/>
      <c r="R74" s="137"/>
      <c r="S74" s="5"/>
      <c r="T74" s="137"/>
      <c r="U74" s="4"/>
      <c r="V74" s="137"/>
      <c r="W74" s="4"/>
      <c r="X74" s="4"/>
      <c r="Y74" s="5"/>
      <c r="Z74" s="137"/>
      <c r="AA74" s="5"/>
      <c r="AB74" s="154"/>
      <c r="AC74" s="155"/>
      <c r="AD74" s="123"/>
      <c r="AE74" s="121"/>
      <c r="AF74" s="248"/>
    </row>
    <row r="75" spans="1:32" x14ac:dyDescent="0.3">
      <c r="A75" s="115"/>
      <c r="B75" s="137"/>
      <c r="C75" s="4"/>
      <c r="D75" s="4"/>
      <c r="E75" s="4"/>
      <c r="F75" s="126"/>
      <c r="G75" s="206"/>
      <c r="H75" s="4"/>
      <c r="I75" s="119" t="str">
        <f t="shared" si="3"/>
        <v>No</v>
      </c>
      <c r="J75" s="137"/>
      <c r="K75" s="123"/>
      <c r="L75" s="4"/>
      <c r="M75" s="4"/>
      <c r="N75" s="211"/>
      <c r="O75" s="137"/>
      <c r="P75" s="4"/>
      <c r="Q75" s="5"/>
      <c r="R75" s="137"/>
      <c r="S75" s="5"/>
      <c r="T75" s="137"/>
      <c r="U75" s="4"/>
      <c r="V75" s="137"/>
      <c r="W75" s="4"/>
      <c r="X75" s="4"/>
      <c r="Y75" s="5"/>
      <c r="Z75" s="137"/>
      <c r="AA75" s="5"/>
      <c r="AB75" s="154"/>
      <c r="AC75" s="155"/>
      <c r="AD75" s="123"/>
      <c r="AE75" s="121"/>
      <c r="AF75" s="248"/>
    </row>
    <row r="76" spans="1:32" x14ac:dyDescent="0.3">
      <c r="A76" s="115"/>
      <c r="B76" s="137"/>
      <c r="C76" s="4"/>
      <c r="D76" s="4"/>
      <c r="E76" s="4"/>
      <c r="F76" s="126"/>
      <c r="G76" s="206"/>
      <c r="H76" s="4"/>
      <c r="I76" s="119" t="str">
        <f t="shared" si="3"/>
        <v>No</v>
      </c>
      <c r="J76" s="137"/>
      <c r="K76" s="123"/>
      <c r="L76" s="4"/>
      <c r="M76" s="4"/>
      <c r="N76" s="211"/>
      <c r="O76" s="137"/>
      <c r="P76" s="4"/>
      <c r="Q76" s="5"/>
      <c r="R76" s="137"/>
      <c r="S76" s="5"/>
      <c r="T76" s="137"/>
      <c r="U76" s="4"/>
      <c r="V76" s="137"/>
      <c r="W76" s="4"/>
      <c r="X76" s="4"/>
      <c r="Y76" s="5"/>
      <c r="Z76" s="137"/>
      <c r="AA76" s="5"/>
      <c r="AB76" s="154"/>
      <c r="AC76" s="155"/>
      <c r="AD76" s="123"/>
      <c r="AE76" s="121"/>
      <c r="AF76" s="248"/>
    </row>
    <row r="77" spans="1:32" x14ac:dyDescent="0.3">
      <c r="A77" s="115"/>
      <c r="B77" s="137"/>
      <c r="C77" s="4"/>
      <c r="D77" s="4"/>
      <c r="E77" s="4"/>
      <c r="F77" s="126"/>
      <c r="G77" s="206"/>
      <c r="H77" s="4"/>
      <c r="I77" s="119" t="str">
        <f t="shared" si="3"/>
        <v>No</v>
      </c>
      <c r="J77" s="137"/>
      <c r="K77" s="123"/>
      <c r="L77" s="4"/>
      <c r="M77" s="4"/>
      <c r="N77" s="211"/>
      <c r="O77" s="137"/>
      <c r="P77" s="4"/>
      <c r="Q77" s="5"/>
      <c r="R77" s="137"/>
      <c r="S77" s="5"/>
      <c r="T77" s="137"/>
      <c r="U77" s="4"/>
      <c r="V77" s="137"/>
      <c r="W77" s="4"/>
      <c r="X77" s="4"/>
      <c r="Y77" s="5"/>
      <c r="Z77" s="137"/>
      <c r="AA77" s="5"/>
      <c r="AB77" s="154"/>
      <c r="AC77" s="155"/>
      <c r="AD77" s="123"/>
      <c r="AE77" s="121"/>
      <c r="AF77" s="248"/>
    </row>
    <row r="78" spans="1:32" x14ac:dyDescent="0.3">
      <c r="A78" s="115"/>
      <c r="B78" s="137"/>
      <c r="C78" s="4"/>
      <c r="D78" s="4"/>
      <c r="E78" s="4"/>
      <c r="F78" s="126"/>
      <c r="G78" s="206"/>
      <c r="H78" s="4"/>
      <c r="I78" s="119" t="str">
        <f t="shared" si="3"/>
        <v>No</v>
      </c>
      <c r="J78" s="137"/>
      <c r="K78" s="123"/>
      <c r="L78" s="4"/>
      <c r="M78" s="4"/>
      <c r="N78" s="211"/>
      <c r="O78" s="137"/>
      <c r="P78" s="4"/>
      <c r="Q78" s="5"/>
      <c r="R78" s="137"/>
      <c r="S78" s="5"/>
      <c r="T78" s="137"/>
      <c r="U78" s="4"/>
      <c r="V78" s="137"/>
      <c r="W78" s="4"/>
      <c r="X78" s="4"/>
      <c r="Y78" s="5"/>
      <c r="Z78" s="137"/>
      <c r="AA78" s="5"/>
      <c r="AB78" s="154"/>
      <c r="AC78" s="155"/>
      <c r="AD78" s="123"/>
      <c r="AE78" s="121"/>
      <c r="AF78" s="248"/>
    </row>
    <row r="79" spans="1:32" x14ac:dyDescent="0.3">
      <c r="A79" s="115"/>
      <c r="B79" s="137"/>
      <c r="C79" s="4"/>
      <c r="D79" s="4"/>
      <c r="E79" s="4"/>
      <c r="F79" s="126"/>
      <c r="G79" s="206"/>
      <c r="H79" s="4"/>
      <c r="I79" s="119" t="str">
        <f t="shared" si="3"/>
        <v>No</v>
      </c>
      <c r="J79" s="137"/>
      <c r="K79" s="123"/>
      <c r="L79" s="4"/>
      <c r="M79" s="4"/>
      <c r="N79" s="211"/>
      <c r="O79" s="137"/>
      <c r="P79" s="4"/>
      <c r="Q79" s="5"/>
      <c r="R79" s="137"/>
      <c r="S79" s="5"/>
      <c r="T79" s="137"/>
      <c r="U79" s="4"/>
      <c r="V79" s="137"/>
      <c r="W79" s="4"/>
      <c r="X79" s="4"/>
      <c r="Y79" s="5"/>
      <c r="Z79" s="137"/>
      <c r="AA79" s="5"/>
      <c r="AB79" s="154"/>
      <c r="AC79" s="155"/>
      <c r="AD79" s="123"/>
      <c r="AE79" s="121"/>
      <c r="AF79" s="248"/>
    </row>
    <row r="80" spans="1:32" x14ac:dyDescent="0.3">
      <c r="A80" s="115"/>
      <c r="B80" s="137"/>
      <c r="C80" s="4"/>
      <c r="D80" s="4"/>
      <c r="E80" s="4"/>
      <c r="F80" s="126"/>
      <c r="G80" s="206"/>
      <c r="H80" s="4"/>
      <c r="I80" s="119" t="str">
        <f t="shared" si="3"/>
        <v>No</v>
      </c>
      <c r="J80" s="137"/>
      <c r="K80" s="123"/>
      <c r="L80" s="4"/>
      <c r="M80" s="4"/>
      <c r="N80" s="211"/>
      <c r="O80" s="137"/>
      <c r="P80" s="4"/>
      <c r="Q80" s="5"/>
      <c r="R80" s="137"/>
      <c r="S80" s="5"/>
      <c r="T80" s="137"/>
      <c r="U80" s="4"/>
      <c r="V80" s="137"/>
      <c r="W80" s="4"/>
      <c r="X80" s="4"/>
      <c r="Y80" s="5"/>
      <c r="Z80" s="137"/>
      <c r="AA80" s="5"/>
      <c r="AB80" s="154"/>
      <c r="AC80" s="155"/>
      <c r="AD80" s="123"/>
      <c r="AE80" s="121"/>
      <c r="AF80" s="248"/>
    </row>
    <row r="81" spans="1:32" x14ac:dyDescent="0.3">
      <c r="A81" s="115"/>
      <c r="B81" s="137"/>
      <c r="C81" s="4"/>
      <c r="D81" s="4"/>
      <c r="E81" s="4"/>
      <c r="F81" s="126"/>
      <c r="G81" s="206"/>
      <c r="H81" s="4"/>
      <c r="I81" s="119" t="str">
        <f t="shared" si="3"/>
        <v>No</v>
      </c>
      <c r="J81" s="137"/>
      <c r="K81" s="123"/>
      <c r="L81" s="4"/>
      <c r="M81" s="4"/>
      <c r="N81" s="211"/>
      <c r="O81" s="137"/>
      <c r="P81" s="4"/>
      <c r="Q81" s="5"/>
      <c r="R81" s="137"/>
      <c r="S81" s="5"/>
      <c r="T81" s="137"/>
      <c r="U81" s="4"/>
      <c r="V81" s="137"/>
      <c r="W81" s="4"/>
      <c r="X81" s="4"/>
      <c r="Y81" s="5"/>
      <c r="Z81" s="137"/>
      <c r="AA81" s="5"/>
      <c r="AB81" s="154"/>
      <c r="AC81" s="155"/>
      <c r="AD81" s="123"/>
      <c r="AE81" s="5"/>
      <c r="AF81" s="248"/>
    </row>
    <row r="82" spans="1:32" x14ac:dyDescent="0.3">
      <c r="A82" s="115"/>
      <c r="B82" s="137"/>
      <c r="C82" s="4"/>
      <c r="D82" s="4"/>
      <c r="E82" s="4"/>
      <c r="F82" s="126"/>
      <c r="G82" s="206"/>
      <c r="H82" s="4"/>
      <c r="I82" s="119" t="str">
        <f t="shared" si="3"/>
        <v>No</v>
      </c>
      <c r="J82" s="137"/>
      <c r="K82" s="123"/>
      <c r="L82" s="4"/>
      <c r="M82" s="4"/>
      <c r="N82" s="211"/>
      <c r="O82" s="137"/>
      <c r="P82" s="4"/>
      <c r="Q82" s="5"/>
      <c r="R82" s="137"/>
      <c r="S82" s="5"/>
      <c r="T82" s="137"/>
      <c r="U82" s="4"/>
      <c r="V82" s="137"/>
      <c r="W82" s="4"/>
      <c r="X82" s="4"/>
      <c r="Y82" s="5"/>
      <c r="Z82" s="137"/>
      <c r="AA82" s="5"/>
      <c r="AB82" s="154"/>
      <c r="AC82" s="155"/>
      <c r="AD82" s="123"/>
      <c r="AE82" s="5"/>
      <c r="AF82" s="248"/>
    </row>
    <row r="83" spans="1:32" x14ac:dyDescent="0.3">
      <c r="A83" s="115"/>
      <c r="B83" s="137"/>
      <c r="C83" s="4"/>
      <c r="D83" s="4"/>
      <c r="E83" s="4"/>
      <c r="F83" s="126"/>
      <c r="G83" s="206"/>
      <c r="H83" s="4"/>
      <c r="I83" s="119" t="str">
        <f t="shared" si="3"/>
        <v>No</v>
      </c>
      <c r="J83" s="137"/>
      <c r="K83" s="123"/>
      <c r="L83" s="4"/>
      <c r="M83" s="4"/>
      <c r="N83" s="211"/>
      <c r="O83" s="137"/>
      <c r="P83" s="4"/>
      <c r="Q83" s="5"/>
      <c r="R83" s="137"/>
      <c r="S83" s="5"/>
      <c r="T83" s="137"/>
      <c r="U83" s="4"/>
      <c r="V83" s="137"/>
      <c r="W83" s="4"/>
      <c r="X83" s="4"/>
      <c r="Y83" s="5"/>
      <c r="Z83" s="137"/>
      <c r="AA83" s="5"/>
      <c r="AB83" s="154"/>
      <c r="AC83" s="155"/>
      <c r="AD83" s="123"/>
      <c r="AE83" s="5"/>
      <c r="AF83" s="248"/>
    </row>
    <row r="84" spans="1:32" x14ac:dyDescent="0.3">
      <c r="A84" s="115"/>
      <c r="B84" s="137"/>
      <c r="C84" s="4"/>
      <c r="D84" s="4"/>
      <c r="E84" s="4"/>
      <c r="F84" s="126"/>
      <c r="G84" s="206"/>
      <c r="H84" s="4"/>
      <c r="I84" s="119" t="str">
        <f t="shared" si="3"/>
        <v>No</v>
      </c>
      <c r="J84" s="137"/>
      <c r="K84" s="123"/>
      <c r="L84" s="4"/>
      <c r="M84" s="4"/>
      <c r="N84" s="211"/>
      <c r="O84" s="137"/>
      <c r="P84" s="4"/>
      <c r="Q84" s="5"/>
      <c r="R84" s="137"/>
      <c r="S84" s="5"/>
      <c r="T84" s="137"/>
      <c r="U84" s="4"/>
      <c r="V84" s="137"/>
      <c r="W84" s="4"/>
      <c r="X84" s="4"/>
      <c r="Y84" s="5"/>
      <c r="Z84" s="137"/>
      <c r="AA84" s="5"/>
      <c r="AB84" s="154"/>
      <c r="AC84" s="155"/>
      <c r="AD84" s="123"/>
      <c r="AE84" s="5"/>
      <c r="AF84" s="248"/>
    </row>
    <row r="85" spans="1:32" x14ac:dyDescent="0.3">
      <c r="A85" s="115"/>
      <c r="B85" s="137"/>
      <c r="C85" s="4"/>
      <c r="D85" s="4"/>
      <c r="E85" s="4"/>
      <c r="F85" s="126"/>
      <c r="G85" s="206"/>
      <c r="H85" s="4"/>
      <c r="I85" s="119" t="str">
        <f t="shared" si="3"/>
        <v>No</v>
      </c>
      <c r="J85" s="137"/>
      <c r="K85" s="123"/>
      <c r="L85" s="4"/>
      <c r="M85" s="4"/>
      <c r="N85" s="211"/>
      <c r="O85" s="137"/>
      <c r="P85" s="4"/>
      <c r="Q85" s="5"/>
      <c r="R85" s="137"/>
      <c r="S85" s="5"/>
      <c r="T85" s="137"/>
      <c r="U85" s="4"/>
      <c r="V85" s="137"/>
      <c r="W85" s="4"/>
      <c r="X85" s="4"/>
      <c r="Y85" s="5"/>
      <c r="Z85" s="137"/>
      <c r="AA85" s="5"/>
      <c r="AB85" s="154"/>
      <c r="AC85" s="155"/>
      <c r="AD85" s="123"/>
      <c r="AE85" s="5"/>
      <c r="AF85" s="248"/>
    </row>
    <row r="86" spans="1:32" x14ac:dyDescent="0.3">
      <c r="A86" s="115"/>
      <c r="B86" s="137"/>
      <c r="C86" s="4"/>
      <c r="D86" s="4"/>
      <c r="E86" s="4"/>
      <c r="F86" s="126"/>
      <c r="G86" s="206"/>
      <c r="H86" s="4"/>
      <c r="I86" s="119" t="str">
        <f t="shared" si="3"/>
        <v>No</v>
      </c>
      <c r="J86" s="137"/>
      <c r="K86" s="123"/>
      <c r="L86" s="4"/>
      <c r="M86" s="4"/>
      <c r="N86" s="211"/>
      <c r="O86" s="137"/>
      <c r="P86" s="4"/>
      <c r="Q86" s="5"/>
      <c r="R86" s="137"/>
      <c r="S86" s="5"/>
      <c r="T86" s="137"/>
      <c r="U86" s="4"/>
      <c r="V86" s="137"/>
      <c r="W86" s="4"/>
      <c r="X86" s="4"/>
      <c r="Y86" s="5"/>
      <c r="Z86" s="137"/>
      <c r="AA86" s="5"/>
      <c r="AB86" s="154"/>
      <c r="AC86" s="155"/>
      <c r="AD86" s="123"/>
      <c r="AE86" s="5"/>
      <c r="AF86" s="248"/>
    </row>
    <row r="87" spans="1:32" x14ac:dyDescent="0.3">
      <c r="A87" s="115"/>
      <c r="B87" s="137"/>
      <c r="C87" s="4"/>
      <c r="D87" s="4"/>
      <c r="E87" s="4"/>
      <c r="F87" s="126"/>
      <c r="G87" s="206"/>
      <c r="H87" s="4"/>
      <c r="I87" s="119" t="s">
        <v>136</v>
      </c>
      <c r="J87" s="137"/>
      <c r="K87" s="123"/>
      <c r="L87" s="4"/>
      <c r="M87" s="4"/>
      <c r="N87" s="211"/>
      <c r="O87" s="137"/>
      <c r="P87" s="4"/>
      <c r="Q87" s="5"/>
      <c r="R87" s="137"/>
      <c r="S87" s="5"/>
      <c r="T87" s="137"/>
      <c r="U87" s="4"/>
      <c r="V87" s="137"/>
      <c r="W87" s="4"/>
      <c r="X87" s="4"/>
      <c r="Y87" s="5"/>
      <c r="Z87" s="137"/>
      <c r="AA87" s="5"/>
      <c r="AB87" s="154"/>
      <c r="AC87" s="155"/>
      <c r="AD87" s="123"/>
      <c r="AE87" s="5"/>
      <c r="AF87" s="248"/>
    </row>
    <row r="88" spans="1:32" x14ac:dyDescent="0.3">
      <c r="A88" s="115"/>
      <c r="B88" s="137"/>
      <c r="C88" s="4"/>
      <c r="D88" s="4"/>
      <c r="E88" s="7"/>
      <c r="F88" s="126"/>
      <c r="G88" s="206"/>
      <c r="H88" s="4"/>
      <c r="I88" s="119" t="str">
        <f t="shared" ref="I88:I119" si="4">IF(H88&gt;=37.8,"Yes","No")</f>
        <v>No</v>
      </c>
      <c r="J88" s="137"/>
      <c r="K88" s="123"/>
      <c r="L88" s="4"/>
      <c r="M88" s="4"/>
      <c r="N88" s="211"/>
      <c r="O88" s="137"/>
      <c r="P88" s="4"/>
      <c r="Q88" s="5"/>
      <c r="R88" s="137"/>
      <c r="S88" s="5"/>
      <c r="T88" s="137"/>
      <c r="U88" s="4"/>
      <c r="V88" s="137"/>
      <c r="W88" s="4"/>
      <c r="X88" s="4"/>
      <c r="Y88" s="5"/>
      <c r="Z88" s="137"/>
      <c r="AA88" s="5"/>
      <c r="AB88" s="154"/>
      <c r="AC88" s="155"/>
      <c r="AD88" s="123"/>
      <c r="AE88" s="5"/>
      <c r="AF88" s="248"/>
    </row>
    <row r="89" spans="1:32" x14ac:dyDescent="0.3">
      <c r="A89" s="115"/>
      <c r="B89" s="137"/>
      <c r="C89" s="4"/>
      <c r="D89" s="4"/>
      <c r="E89" s="4"/>
      <c r="F89" s="126"/>
      <c r="G89" s="206"/>
      <c r="H89" s="4"/>
      <c r="I89" s="119" t="str">
        <f t="shared" si="4"/>
        <v>No</v>
      </c>
      <c r="J89" s="137"/>
      <c r="K89" s="123"/>
      <c r="L89" s="4"/>
      <c r="M89" s="4"/>
      <c r="N89" s="211"/>
      <c r="O89" s="137"/>
      <c r="P89" s="4"/>
      <c r="Q89" s="5"/>
      <c r="R89" s="137"/>
      <c r="S89" s="5"/>
      <c r="T89" s="137"/>
      <c r="U89" s="4"/>
      <c r="V89" s="137"/>
      <c r="W89" s="4"/>
      <c r="X89" s="4"/>
      <c r="Y89" s="5"/>
      <c r="Z89" s="137"/>
      <c r="AA89" s="5"/>
      <c r="AB89" s="154"/>
      <c r="AC89" s="155"/>
      <c r="AD89" s="123"/>
      <c r="AE89" s="5"/>
      <c r="AF89" s="248"/>
    </row>
    <row r="90" spans="1:32" x14ac:dyDescent="0.3">
      <c r="A90" s="115"/>
      <c r="B90" s="137"/>
      <c r="C90" s="4"/>
      <c r="D90" s="4"/>
      <c r="E90" s="4"/>
      <c r="F90" s="126"/>
      <c r="G90" s="206"/>
      <c r="H90" s="4"/>
      <c r="I90" s="119" t="str">
        <f t="shared" si="4"/>
        <v>No</v>
      </c>
      <c r="J90" s="137"/>
      <c r="K90" s="123"/>
      <c r="L90" s="4"/>
      <c r="M90" s="4"/>
      <c r="N90" s="211"/>
      <c r="O90" s="137"/>
      <c r="P90" s="4"/>
      <c r="Q90" s="5"/>
      <c r="R90" s="137"/>
      <c r="S90" s="5"/>
      <c r="T90" s="137"/>
      <c r="U90" s="4"/>
      <c r="V90" s="137"/>
      <c r="W90" s="4"/>
      <c r="X90" s="4"/>
      <c r="Y90" s="5"/>
      <c r="Z90" s="137"/>
      <c r="AA90" s="5"/>
      <c r="AB90" s="154"/>
      <c r="AC90" s="155"/>
      <c r="AD90" s="123"/>
      <c r="AE90" s="5"/>
      <c r="AF90" s="248"/>
    </row>
    <row r="91" spans="1:32" x14ac:dyDescent="0.3">
      <c r="A91" s="115"/>
      <c r="B91" s="137"/>
      <c r="C91" s="4"/>
      <c r="D91" s="4"/>
      <c r="E91" s="4"/>
      <c r="F91" s="126"/>
      <c r="G91" s="206"/>
      <c r="H91" s="4"/>
      <c r="I91" s="119" t="str">
        <f t="shared" si="4"/>
        <v>No</v>
      </c>
      <c r="J91" s="137"/>
      <c r="K91" s="123"/>
      <c r="L91" s="4"/>
      <c r="M91" s="4"/>
      <c r="N91" s="211"/>
      <c r="O91" s="137"/>
      <c r="P91" s="4"/>
      <c r="Q91" s="5"/>
      <c r="R91" s="137"/>
      <c r="S91" s="5"/>
      <c r="T91" s="137"/>
      <c r="U91" s="4"/>
      <c r="V91" s="137"/>
      <c r="W91" s="4"/>
      <c r="X91" s="4"/>
      <c r="Y91" s="5"/>
      <c r="Z91" s="137"/>
      <c r="AA91" s="5"/>
      <c r="AB91" s="154"/>
      <c r="AC91" s="155"/>
      <c r="AD91" s="123"/>
      <c r="AE91" s="5"/>
      <c r="AF91" s="248"/>
    </row>
    <row r="92" spans="1:32" x14ac:dyDescent="0.3">
      <c r="A92" s="115"/>
      <c r="B92" s="137"/>
      <c r="C92" s="4"/>
      <c r="D92" s="4"/>
      <c r="E92" s="4"/>
      <c r="F92" s="126"/>
      <c r="G92" s="206"/>
      <c r="H92" s="4"/>
      <c r="I92" s="119" t="str">
        <f t="shared" si="4"/>
        <v>No</v>
      </c>
      <c r="J92" s="137"/>
      <c r="K92" s="123"/>
      <c r="L92" s="4"/>
      <c r="M92" s="4"/>
      <c r="N92" s="211"/>
      <c r="O92" s="137"/>
      <c r="P92" s="4"/>
      <c r="Q92" s="5"/>
      <c r="R92" s="137"/>
      <c r="S92" s="5"/>
      <c r="T92" s="137"/>
      <c r="U92" s="4"/>
      <c r="V92" s="137"/>
      <c r="W92" s="4"/>
      <c r="X92" s="4"/>
      <c r="Y92" s="5"/>
      <c r="Z92" s="137"/>
      <c r="AA92" s="5"/>
      <c r="AB92" s="154"/>
      <c r="AC92" s="155"/>
      <c r="AD92" s="123"/>
      <c r="AE92" s="5"/>
      <c r="AF92" s="248"/>
    </row>
    <row r="93" spans="1:32" x14ac:dyDescent="0.3">
      <c r="A93" s="115"/>
      <c r="B93" s="137"/>
      <c r="C93" s="4"/>
      <c r="D93" s="4"/>
      <c r="E93" s="4"/>
      <c r="F93" s="126"/>
      <c r="G93" s="206"/>
      <c r="H93" s="4"/>
      <c r="I93" s="119" t="str">
        <f t="shared" si="4"/>
        <v>No</v>
      </c>
      <c r="J93" s="137"/>
      <c r="K93" s="123"/>
      <c r="L93" s="4"/>
      <c r="M93" s="4"/>
      <c r="N93" s="211"/>
      <c r="O93" s="137"/>
      <c r="P93" s="4"/>
      <c r="Q93" s="5"/>
      <c r="R93" s="137"/>
      <c r="S93" s="5"/>
      <c r="T93" s="137"/>
      <c r="U93" s="4"/>
      <c r="V93" s="137"/>
      <c r="W93" s="4"/>
      <c r="X93" s="4"/>
      <c r="Y93" s="5"/>
      <c r="Z93" s="137"/>
      <c r="AA93" s="5"/>
      <c r="AB93" s="154"/>
      <c r="AC93" s="155"/>
      <c r="AD93" s="123"/>
      <c r="AE93" s="5"/>
      <c r="AF93" s="248"/>
    </row>
    <row r="94" spans="1:32" x14ac:dyDescent="0.3">
      <c r="A94" s="115"/>
      <c r="B94" s="137"/>
      <c r="C94" s="4"/>
      <c r="D94" s="4"/>
      <c r="E94" s="4"/>
      <c r="F94" s="126"/>
      <c r="G94" s="206"/>
      <c r="H94" s="4"/>
      <c r="I94" s="119" t="str">
        <f t="shared" si="4"/>
        <v>No</v>
      </c>
      <c r="J94" s="137"/>
      <c r="K94" s="123"/>
      <c r="L94" s="4"/>
      <c r="M94" s="4"/>
      <c r="N94" s="211"/>
      <c r="O94" s="137"/>
      <c r="P94" s="4"/>
      <c r="Q94" s="5"/>
      <c r="R94" s="137"/>
      <c r="S94" s="5"/>
      <c r="T94" s="137"/>
      <c r="U94" s="4"/>
      <c r="V94" s="137"/>
      <c r="W94" s="4"/>
      <c r="X94" s="4"/>
      <c r="Y94" s="5"/>
      <c r="Z94" s="137"/>
      <c r="AA94" s="5"/>
      <c r="AB94" s="154"/>
      <c r="AC94" s="155"/>
      <c r="AD94" s="123"/>
      <c r="AE94" s="5"/>
      <c r="AF94" s="248"/>
    </row>
    <row r="95" spans="1:32" x14ac:dyDescent="0.3">
      <c r="A95" s="115"/>
      <c r="B95" s="137"/>
      <c r="C95" s="4"/>
      <c r="D95" s="4"/>
      <c r="E95" s="4"/>
      <c r="F95" s="126"/>
      <c r="G95" s="206"/>
      <c r="H95" s="4"/>
      <c r="I95" s="119" t="str">
        <f t="shared" si="4"/>
        <v>No</v>
      </c>
      <c r="J95" s="137"/>
      <c r="K95" s="123"/>
      <c r="L95" s="4"/>
      <c r="M95" s="4"/>
      <c r="N95" s="211"/>
      <c r="O95" s="137"/>
      <c r="P95" s="4"/>
      <c r="Q95" s="5"/>
      <c r="R95" s="137"/>
      <c r="S95" s="5"/>
      <c r="T95" s="137"/>
      <c r="U95" s="4"/>
      <c r="V95" s="137"/>
      <c r="W95" s="4"/>
      <c r="X95" s="4"/>
      <c r="Y95" s="5"/>
      <c r="Z95" s="137"/>
      <c r="AA95" s="5"/>
      <c r="AB95" s="154"/>
      <c r="AC95" s="155"/>
      <c r="AD95" s="123"/>
      <c r="AE95" s="5"/>
      <c r="AF95" s="248"/>
    </row>
    <row r="96" spans="1:32" x14ac:dyDescent="0.3">
      <c r="A96" s="115"/>
      <c r="B96" s="137"/>
      <c r="C96" s="4"/>
      <c r="D96" s="4"/>
      <c r="E96" s="4"/>
      <c r="F96" s="126"/>
      <c r="G96" s="206"/>
      <c r="H96" s="4"/>
      <c r="I96" s="119" t="str">
        <f t="shared" si="4"/>
        <v>No</v>
      </c>
      <c r="J96" s="137"/>
      <c r="K96" s="123"/>
      <c r="L96" s="4"/>
      <c r="M96" s="4"/>
      <c r="N96" s="211"/>
      <c r="O96" s="137"/>
      <c r="P96" s="4"/>
      <c r="Q96" s="5"/>
      <c r="R96" s="137"/>
      <c r="S96" s="5"/>
      <c r="T96" s="137"/>
      <c r="U96" s="4"/>
      <c r="V96" s="137"/>
      <c r="W96" s="4"/>
      <c r="X96" s="4"/>
      <c r="Y96" s="5"/>
      <c r="Z96" s="137"/>
      <c r="AA96" s="5"/>
      <c r="AB96" s="154"/>
      <c r="AC96" s="155"/>
      <c r="AD96" s="123"/>
      <c r="AE96" s="5"/>
      <c r="AF96" s="248"/>
    </row>
    <row r="97" spans="1:32" x14ac:dyDescent="0.3">
      <c r="A97" s="115"/>
      <c r="B97" s="137"/>
      <c r="C97" s="4"/>
      <c r="D97" s="4"/>
      <c r="E97" s="4"/>
      <c r="F97" s="126"/>
      <c r="G97" s="206"/>
      <c r="H97" s="4"/>
      <c r="I97" s="119" t="str">
        <f t="shared" si="4"/>
        <v>No</v>
      </c>
      <c r="J97" s="137"/>
      <c r="K97" s="123"/>
      <c r="L97" s="4"/>
      <c r="M97" s="4"/>
      <c r="N97" s="211"/>
      <c r="O97" s="137"/>
      <c r="P97" s="4"/>
      <c r="Q97" s="5"/>
      <c r="R97" s="137"/>
      <c r="S97" s="5"/>
      <c r="T97" s="137"/>
      <c r="U97" s="4"/>
      <c r="V97" s="137"/>
      <c r="W97" s="4"/>
      <c r="X97" s="4"/>
      <c r="Y97" s="5"/>
      <c r="Z97" s="137"/>
      <c r="AA97" s="5"/>
      <c r="AB97" s="154"/>
      <c r="AC97" s="155"/>
      <c r="AD97" s="123"/>
      <c r="AE97" s="5"/>
      <c r="AF97" s="248"/>
    </row>
    <row r="98" spans="1:32" x14ac:dyDescent="0.3">
      <c r="A98" s="115"/>
      <c r="B98" s="137"/>
      <c r="C98" s="4"/>
      <c r="D98" s="4"/>
      <c r="E98" s="4"/>
      <c r="F98" s="126"/>
      <c r="G98" s="206"/>
      <c r="H98" s="4"/>
      <c r="I98" s="119" t="str">
        <f t="shared" si="4"/>
        <v>No</v>
      </c>
      <c r="J98" s="137"/>
      <c r="K98" s="123"/>
      <c r="L98" s="4"/>
      <c r="M98" s="4"/>
      <c r="N98" s="211"/>
      <c r="O98" s="137"/>
      <c r="P98" s="4"/>
      <c r="Q98" s="5"/>
      <c r="R98" s="137"/>
      <c r="S98" s="5"/>
      <c r="T98" s="137"/>
      <c r="U98" s="4"/>
      <c r="V98" s="137"/>
      <c r="W98" s="4"/>
      <c r="X98" s="4"/>
      <c r="Y98" s="5"/>
      <c r="Z98" s="137"/>
      <c r="AA98" s="5"/>
      <c r="AB98" s="154"/>
      <c r="AC98" s="155"/>
      <c r="AD98" s="123"/>
      <c r="AE98" s="5"/>
      <c r="AF98" s="248"/>
    </row>
    <row r="99" spans="1:32" x14ac:dyDescent="0.3">
      <c r="A99" s="115"/>
      <c r="B99" s="137"/>
      <c r="C99" s="4"/>
      <c r="D99" s="4"/>
      <c r="E99" s="4"/>
      <c r="F99" s="126"/>
      <c r="G99" s="206"/>
      <c r="H99" s="4"/>
      <c r="I99" s="119" t="str">
        <f t="shared" si="4"/>
        <v>No</v>
      </c>
      <c r="J99" s="137"/>
      <c r="K99" s="123"/>
      <c r="L99" s="4"/>
      <c r="M99" s="4"/>
      <c r="N99" s="211"/>
      <c r="O99" s="137"/>
      <c r="P99" s="4"/>
      <c r="Q99" s="5"/>
      <c r="R99" s="137"/>
      <c r="S99" s="5"/>
      <c r="T99" s="137"/>
      <c r="U99" s="4"/>
      <c r="V99" s="137"/>
      <c r="W99" s="4"/>
      <c r="X99" s="4"/>
      <c r="Y99" s="5"/>
      <c r="Z99" s="137"/>
      <c r="AA99" s="5"/>
      <c r="AB99" s="154"/>
      <c r="AC99" s="155"/>
      <c r="AD99" s="123"/>
      <c r="AE99" s="5"/>
      <c r="AF99" s="248"/>
    </row>
    <row r="100" spans="1:32" x14ac:dyDescent="0.3">
      <c r="A100" s="115"/>
      <c r="B100" s="137"/>
      <c r="C100" s="4"/>
      <c r="D100" s="4"/>
      <c r="E100" s="4"/>
      <c r="F100" s="126"/>
      <c r="G100" s="206"/>
      <c r="H100" s="4"/>
      <c r="I100" s="119" t="str">
        <f t="shared" si="4"/>
        <v>No</v>
      </c>
      <c r="J100" s="137"/>
      <c r="K100" s="123"/>
      <c r="L100" s="4"/>
      <c r="M100" s="4"/>
      <c r="N100" s="211"/>
      <c r="O100" s="137"/>
      <c r="P100" s="4"/>
      <c r="Q100" s="5"/>
      <c r="R100" s="137"/>
      <c r="S100" s="5"/>
      <c r="T100" s="137"/>
      <c r="U100" s="4"/>
      <c r="V100" s="137"/>
      <c r="W100" s="4"/>
      <c r="X100" s="4"/>
      <c r="Y100" s="5"/>
      <c r="Z100" s="137"/>
      <c r="AA100" s="5"/>
      <c r="AB100" s="154"/>
      <c r="AC100" s="155"/>
      <c r="AD100" s="123"/>
      <c r="AE100" s="5"/>
      <c r="AF100" s="248"/>
    </row>
    <row r="101" spans="1:32" x14ac:dyDescent="0.3">
      <c r="A101" s="115"/>
      <c r="B101" s="137"/>
      <c r="C101" s="4"/>
      <c r="D101" s="4"/>
      <c r="E101" s="4"/>
      <c r="F101" s="126"/>
      <c r="G101" s="206"/>
      <c r="H101" s="4"/>
      <c r="I101" s="119" t="str">
        <f t="shared" si="4"/>
        <v>No</v>
      </c>
      <c r="J101" s="137"/>
      <c r="K101" s="123"/>
      <c r="L101" s="4"/>
      <c r="M101" s="4"/>
      <c r="N101" s="211"/>
      <c r="O101" s="137"/>
      <c r="P101" s="4"/>
      <c r="Q101" s="5"/>
      <c r="R101" s="137"/>
      <c r="S101" s="5"/>
      <c r="T101" s="137"/>
      <c r="U101" s="4"/>
      <c r="V101" s="137"/>
      <c r="W101" s="4"/>
      <c r="X101" s="4"/>
      <c r="Y101" s="5"/>
      <c r="Z101" s="137"/>
      <c r="AA101" s="5"/>
      <c r="AB101" s="154"/>
      <c r="AC101" s="155"/>
      <c r="AD101" s="123"/>
      <c r="AE101" s="121"/>
      <c r="AF101" s="248"/>
    </row>
    <row r="102" spans="1:32" x14ac:dyDescent="0.3">
      <c r="A102" s="115"/>
      <c r="B102" s="137"/>
      <c r="C102" s="4"/>
      <c r="D102" s="4"/>
      <c r="E102" s="7"/>
      <c r="F102" s="126"/>
      <c r="G102" s="206"/>
      <c r="H102" s="4"/>
      <c r="I102" s="119" t="str">
        <f t="shared" si="4"/>
        <v>No</v>
      </c>
      <c r="J102" s="137"/>
      <c r="K102" s="123"/>
      <c r="L102" s="4"/>
      <c r="M102" s="4"/>
      <c r="N102" s="211"/>
      <c r="O102" s="137"/>
      <c r="P102" s="4"/>
      <c r="Q102" s="5"/>
      <c r="R102" s="137"/>
      <c r="S102" s="5"/>
      <c r="T102" s="137"/>
      <c r="U102" s="4"/>
      <c r="V102" s="137"/>
      <c r="W102" s="4"/>
      <c r="X102" s="4"/>
      <c r="Y102" s="5"/>
      <c r="Z102" s="137"/>
      <c r="AA102" s="5"/>
      <c r="AB102" s="154"/>
      <c r="AC102" s="155"/>
      <c r="AD102" s="123"/>
      <c r="AE102" s="121"/>
      <c r="AF102" s="248"/>
    </row>
    <row r="103" spans="1:32" x14ac:dyDescent="0.3">
      <c r="A103" s="115"/>
      <c r="B103" s="137"/>
      <c r="C103" s="4"/>
      <c r="D103" s="4"/>
      <c r="E103" s="4"/>
      <c r="F103" s="126"/>
      <c r="G103" s="206"/>
      <c r="H103" s="4"/>
      <c r="I103" s="119" t="str">
        <f t="shared" si="4"/>
        <v>No</v>
      </c>
      <c r="J103" s="137"/>
      <c r="K103" s="123"/>
      <c r="L103" s="4"/>
      <c r="M103" s="4"/>
      <c r="N103" s="211"/>
      <c r="O103" s="137"/>
      <c r="P103" s="4"/>
      <c r="Q103" s="5"/>
      <c r="R103" s="137"/>
      <c r="S103" s="5"/>
      <c r="T103" s="137"/>
      <c r="U103" s="4"/>
      <c r="V103" s="137"/>
      <c r="W103" s="4"/>
      <c r="X103" s="4"/>
      <c r="Y103" s="5"/>
      <c r="Z103" s="137"/>
      <c r="AA103" s="5"/>
      <c r="AB103" s="154"/>
      <c r="AC103" s="155"/>
      <c r="AD103" s="123"/>
      <c r="AE103" s="121"/>
      <c r="AF103" s="248"/>
    </row>
    <row r="104" spans="1:32" x14ac:dyDescent="0.3">
      <c r="A104" s="115"/>
      <c r="B104" s="137"/>
      <c r="C104" s="4"/>
      <c r="D104" s="4"/>
      <c r="E104" s="4"/>
      <c r="F104" s="126"/>
      <c r="G104" s="206"/>
      <c r="H104" s="4"/>
      <c r="I104" s="119" t="str">
        <f t="shared" si="4"/>
        <v>No</v>
      </c>
      <c r="J104" s="137"/>
      <c r="K104" s="123"/>
      <c r="L104" s="4"/>
      <c r="M104" s="4"/>
      <c r="N104" s="211"/>
      <c r="O104" s="137"/>
      <c r="P104" s="4"/>
      <c r="Q104" s="5"/>
      <c r="R104" s="137"/>
      <c r="S104" s="5"/>
      <c r="T104" s="137"/>
      <c r="U104" s="4"/>
      <c r="V104" s="137"/>
      <c r="W104" s="4"/>
      <c r="X104" s="4"/>
      <c r="Y104" s="5"/>
      <c r="Z104" s="137"/>
      <c r="AA104" s="5"/>
      <c r="AB104" s="154"/>
      <c r="AC104" s="155"/>
      <c r="AD104" s="123"/>
      <c r="AE104" s="121"/>
      <c r="AF104" s="248"/>
    </row>
    <row r="105" spans="1:32" x14ac:dyDescent="0.3">
      <c r="A105" s="115"/>
      <c r="B105" s="137"/>
      <c r="C105" s="4"/>
      <c r="D105" s="4"/>
      <c r="E105" s="4"/>
      <c r="F105" s="126"/>
      <c r="G105" s="206"/>
      <c r="H105" s="4"/>
      <c r="I105" s="119" t="str">
        <f t="shared" si="4"/>
        <v>No</v>
      </c>
      <c r="J105" s="137"/>
      <c r="K105" s="123"/>
      <c r="L105" s="4"/>
      <c r="M105" s="4"/>
      <c r="N105" s="211"/>
      <c r="O105" s="137"/>
      <c r="P105" s="4"/>
      <c r="Q105" s="5"/>
      <c r="R105" s="137"/>
      <c r="S105" s="5"/>
      <c r="T105" s="137"/>
      <c r="U105" s="4"/>
      <c r="V105" s="137"/>
      <c r="W105" s="4"/>
      <c r="X105" s="4"/>
      <c r="Y105" s="5"/>
      <c r="Z105" s="137"/>
      <c r="AA105" s="5"/>
      <c r="AB105" s="154"/>
      <c r="AC105" s="155"/>
      <c r="AD105" s="123"/>
      <c r="AE105" s="121"/>
      <c r="AF105" s="248"/>
    </row>
    <row r="106" spans="1:32" x14ac:dyDescent="0.3">
      <c r="A106" s="115"/>
      <c r="B106" s="137"/>
      <c r="C106" s="4"/>
      <c r="D106" s="4"/>
      <c r="E106" s="7"/>
      <c r="F106" s="126"/>
      <c r="G106" s="206"/>
      <c r="H106" s="4"/>
      <c r="I106" s="119" t="str">
        <f t="shared" si="4"/>
        <v>No</v>
      </c>
      <c r="J106" s="137"/>
      <c r="K106" s="123"/>
      <c r="L106" s="4"/>
      <c r="M106" s="4"/>
      <c r="N106" s="211"/>
      <c r="O106" s="137"/>
      <c r="P106" s="4"/>
      <c r="Q106" s="5"/>
      <c r="R106" s="137"/>
      <c r="S106" s="5"/>
      <c r="T106" s="137"/>
      <c r="U106" s="4"/>
      <c r="V106" s="137"/>
      <c r="W106" s="4"/>
      <c r="X106" s="4"/>
      <c r="Y106" s="5"/>
      <c r="Z106" s="137"/>
      <c r="AA106" s="5"/>
      <c r="AB106" s="154"/>
      <c r="AC106" s="155"/>
      <c r="AD106" s="123"/>
      <c r="AE106" s="121"/>
      <c r="AF106" s="248"/>
    </row>
    <row r="107" spans="1:32" x14ac:dyDescent="0.3">
      <c r="A107" s="115"/>
      <c r="B107" s="137"/>
      <c r="C107" s="4"/>
      <c r="D107" s="4"/>
      <c r="E107" s="4"/>
      <c r="F107" s="126"/>
      <c r="G107" s="206"/>
      <c r="H107" s="4"/>
      <c r="I107" s="119" t="str">
        <f t="shared" si="4"/>
        <v>No</v>
      </c>
      <c r="J107" s="137"/>
      <c r="K107" s="123"/>
      <c r="L107" s="4"/>
      <c r="M107" s="4"/>
      <c r="N107" s="211"/>
      <c r="O107" s="137"/>
      <c r="P107" s="4"/>
      <c r="Q107" s="5"/>
      <c r="R107" s="137"/>
      <c r="S107" s="5"/>
      <c r="T107" s="137"/>
      <c r="U107" s="4"/>
      <c r="V107" s="137"/>
      <c r="W107" s="4"/>
      <c r="X107" s="4"/>
      <c r="Y107" s="5"/>
      <c r="Z107" s="137"/>
      <c r="AA107" s="5"/>
      <c r="AB107" s="154"/>
      <c r="AC107" s="155"/>
      <c r="AD107" s="123"/>
      <c r="AE107" s="121"/>
      <c r="AF107" s="248"/>
    </row>
    <row r="108" spans="1:32" x14ac:dyDescent="0.3">
      <c r="A108" s="115"/>
      <c r="B108" s="137"/>
      <c r="C108" s="4"/>
      <c r="D108" s="4"/>
      <c r="E108" s="4"/>
      <c r="F108" s="126"/>
      <c r="G108" s="206"/>
      <c r="H108" s="4"/>
      <c r="I108" s="119" t="str">
        <f t="shared" si="4"/>
        <v>No</v>
      </c>
      <c r="J108" s="137"/>
      <c r="K108" s="123"/>
      <c r="L108" s="4"/>
      <c r="M108" s="4"/>
      <c r="N108" s="211"/>
      <c r="O108" s="137"/>
      <c r="P108" s="4"/>
      <c r="Q108" s="5"/>
      <c r="R108" s="137"/>
      <c r="S108" s="5"/>
      <c r="T108" s="137"/>
      <c r="U108" s="4"/>
      <c r="V108" s="137"/>
      <c r="W108" s="4"/>
      <c r="X108" s="4"/>
      <c r="Y108" s="5"/>
      <c r="Z108" s="137"/>
      <c r="AA108" s="5"/>
      <c r="AB108" s="154"/>
      <c r="AC108" s="155"/>
      <c r="AD108" s="123"/>
      <c r="AE108" s="121"/>
      <c r="AF108" s="248"/>
    </row>
    <row r="109" spans="1:32" x14ac:dyDescent="0.3">
      <c r="A109" s="115"/>
      <c r="B109" s="137"/>
      <c r="C109" s="4"/>
      <c r="D109" s="4"/>
      <c r="E109" s="4"/>
      <c r="F109" s="126"/>
      <c r="G109" s="206"/>
      <c r="H109" s="4"/>
      <c r="I109" s="119" t="str">
        <f t="shared" si="4"/>
        <v>No</v>
      </c>
      <c r="J109" s="137"/>
      <c r="K109" s="123"/>
      <c r="L109" s="4"/>
      <c r="M109" s="4"/>
      <c r="N109" s="211"/>
      <c r="O109" s="137"/>
      <c r="P109" s="4"/>
      <c r="Q109" s="5"/>
      <c r="R109" s="137"/>
      <c r="S109" s="5"/>
      <c r="T109" s="137"/>
      <c r="U109" s="4"/>
      <c r="V109" s="137"/>
      <c r="W109" s="4"/>
      <c r="X109" s="4"/>
      <c r="Y109" s="5"/>
      <c r="Z109" s="137"/>
      <c r="AA109" s="5"/>
      <c r="AB109" s="154"/>
      <c r="AC109" s="155"/>
      <c r="AD109" s="123"/>
      <c r="AE109" s="121"/>
      <c r="AF109" s="248"/>
    </row>
    <row r="110" spans="1:32" x14ac:dyDescent="0.3">
      <c r="A110" s="115"/>
      <c r="B110" s="137"/>
      <c r="C110" s="4"/>
      <c r="D110" s="4"/>
      <c r="E110" s="4"/>
      <c r="F110" s="126"/>
      <c r="G110" s="206"/>
      <c r="H110" s="4"/>
      <c r="I110" s="119" t="str">
        <f t="shared" si="4"/>
        <v>No</v>
      </c>
      <c r="J110" s="137"/>
      <c r="K110" s="123"/>
      <c r="L110" s="4"/>
      <c r="M110" s="4"/>
      <c r="N110" s="211"/>
      <c r="O110" s="137"/>
      <c r="P110" s="4"/>
      <c r="Q110" s="5"/>
      <c r="R110" s="137"/>
      <c r="S110" s="5"/>
      <c r="T110" s="137"/>
      <c r="U110" s="4"/>
      <c r="V110" s="137"/>
      <c r="W110" s="4"/>
      <c r="X110" s="4"/>
      <c r="Y110" s="5"/>
      <c r="Z110" s="137"/>
      <c r="AA110" s="5"/>
      <c r="AB110" s="154"/>
      <c r="AC110" s="155"/>
      <c r="AD110" s="123"/>
      <c r="AE110" s="121"/>
      <c r="AF110" s="248"/>
    </row>
    <row r="111" spans="1:32" x14ac:dyDescent="0.3">
      <c r="A111" s="115"/>
      <c r="B111" s="137"/>
      <c r="C111" s="4"/>
      <c r="D111" s="4"/>
      <c r="E111" s="4"/>
      <c r="F111" s="126"/>
      <c r="G111" s="206"/>
      <c r="H111" s="4"/>
      <c r="I111" s="119" t="str">
        <f t="shared" si="4"/>
        <v>No</v>
      </c>
      <c r="J111" s="137"/>
      <c r="K111" s="123"/>
      <c r="L111" s="4"/>
      <c r="M111" s="4"/>
      <c r="N111" s="211"/>
      <c r="O111" s="137"/>
      <c r="P111" s="4"/>
      <c r="Q111" s="5"/>
      <c r="R111" s="137"/>
      <c r="S111" s="5"/>
      <c r="T111" s="137"/>
      <c r="U111" s="4"/>
      <c r="V111" s="137"/>
      <c r="W111" s="4"/>
      <c r="X111" s="4"/>
      <c r="Y111" s="5"/>
      <c r="Z111" s="137"/>
      <c r="AA111" s="5"/>
      <c r="AB111" s="154"/>
      <c r="AC111" s="155"/>
      <c r="AD111" s="123"/>
      <c r="AE111" s="121"/>
      <c r="AF111" s="248"/>
    </row>
    <row r="112" spans="1:32" x14ac:dyDescent="0.3">
      <c r="A112" s="115"/>
      <c r="B112" s="137"/>
      <c r="C112" s="4"/>
      <c r="D112" s="4"/>
      <c r="E112" s="4"/>
      <c r="F112" s="126"/>
      <c r="G112" s="206"/>
      <c r="H112" s="4"/>
      <c r="I112" s="119" t="str">
        <f t="shared" si="4"/>
        <v>No</v>
      </c>
      <c r="J112" s="137"/>
      <c r="K112" s="123"/>
      <c r="L112" s="4"/>
      <c r="M112" s="4"/>
      <c r="N112" s="211"/>
      <c r="O112" s="137"/>
      <c r="P112" s="4"/>
      <c r="Q112" s="5"/>
      <c r="R112" s="137"/>
      <c r="S112" s="5"/>
      <c r="T112" s="137"/>
      <c r="U112" s="4"/>
      <c r="V112" s="137"/>
      <c r="W112" s="4"/>
      <c r="X112" s="4"/>
      <c r="Y112" s="5"/>
      <c r="Z112" s="137"/>
      <c r="AA112" s="5"/>
      <c r="AB112" s="154"/>
      <c r="AC112" s="155"/>
      <c r="AD112" s="123"/>
      <c r="AE112" s="121"/>
      <c r="AF112" s="248"/>
    </row>
    <row r="113" spans="1:32" x14ac:dyDescent="0.3">
      <c r="A113" s="115"/>
      <c r="B113" s="137"/>
      <c r="C113" s="4"/>
      <c r="D113" s="4"/>
      <c r="E113" s="4"/>
      <c r="F113" s="126"/>
      <c r="G113" s="206"/>
      <c r="H113" s="4"/>
      <c r="I113" s="119" t="str">
        <f t="shared" si="4"/>
        <v>No</v>
      </c>
      <c r="J113" s="137"/>
      <c r="K113" s="123"/>
      <c r="L113" s="4"/>
      <c r="M113" s="4"/>
      <c r="N113" s="211"/>
      <c r="O113" s="137"/>
      <c r="P113" s="4"/>
      <c r="Q113" s="5"/>
      <c r="R113" s="137"/>
      <c r="S113" s="5"/>
      <c r="T113" s="137"/>
      <c r="U113" s="4"/>
      <c r="V113" s="137"/>
      <c r="W113" s="4"/>
      <c r="X113" s="4"/>
      <c r="Y113" s="5"/>
      <c r="Z113" s="137"/>
      <c r="AA113" s="5"/>
      <c r="AB113" s="154"/>
      <c r="AC113" s="155"/>
      <c r="AD113" s="123"/>
      <c r="AE113" s="121"/>
      <c r="AF113" s="248"/>
    </row>
    <row r="114" spans="1:32" x14ac:dyDescent="0.3">
      <c r="A114" s="115"/>
      <c r="B114" s="137"/>
      <c r="C114" s="4"/>
      <c r="D114" s="4"/>
      <c r="E114" s="7"/>
      <c r="F114" s="126"/>
      <c r="G114" s="206"/>
      <c r="H114" s="4"/>
      <c r="I114" s="119" t="str">
        <f t="shared" si="4"/>
        <v>No</v>
      </c>
      <c r="J114" s="137"/>
      <c r="K114" s="123"/>
      <c r="L114" s="4"/>
      <c r="M114" s="4"/>
      <c r="N114" s="211"/>
      <c r="O114" s="137"/>
      <c r="P114" s="4"/>
      <c r="Q114" s="5"/>
      <c r="R114" s="137"/>
      <c r="S114" s="5"/>
      <c r="T114" s="137"/>
      <c r="U114" s="4"/>
      <c r="V114" s="137"/>
      <c r="W114" s="4"/>
      <c r="X114" s="4"/>
      <c r="Y114" s="5"/>
      <c r="Z114" s="137"/>
      <c r="AA114" s="5"/>
      <c r="AB114" s="154"/>
      <c r="AC114" s="155"/>
      <c r="AD114" s="123"/>
      <c r="AE114" s="5"/>
      <c r="AF114" s="248"/>
    </row>
    <row r="115" spans="1:32" x14ac:dyDescent="0.3">
      <c r="A115" s="115"/>
      <c r="B115" s="137"/>
      <c r="C115" s="4"/>
      <c r="D115" s="4"/>
      <c r="E115" s="4"/>
      <c r="F115" s="126"/>
      <c r="G115" s="206"/>
      <c r="H115" s="4"/>
      <c r="I115" s="119" t="str">
        <f t="shared" si="4"/>
        <v>No</v>
      </c>
      <c r="J115" s="137"/>
      <c r="K115" s="123"/>
      <c r="L115" s="4"/>
      <c r="M115" s="4"/>
      <c r="N115" s="211"/>
      <c r="O115" s="137"/>
      <c r="P115" s="4"/>
      <c r="Q115" s="5"/>
      <c r="R115" s="137"/>
      <c r="S115" s="5"/>
      <c r="T115" s="137"/>
      <c r="U115" s="4"/>
      <c r="V115" s="137"/>
      <c r="W115" s="4"/>
      <c r="X115" s="4"/>
      <c r="Y115" s="5"/>
      <c r="Z115" s="137"/>
      <c r="AA115" s="5"/>
      <c r="AB115" s="154"/>
      <c r="AC115" s="155"/>
      <c r="AD115" s="123"/>
      <c r="AE115" s="5"/>
      <c r="AF115" s="248"/>
    </row>
    <row r="116" spans="1:32" x14ac:dyDescent="0.3">
      <c r="A116" s="115"/>
      <c r="B116" s="137"/>
      <c r="C116" s="4"/>
      <c r="D116" s="4"/>
      <c r="E116" s="7"/>
      <c r="F116" s="126"/>
      <c r="G116" s="206"/>
      <c r="H116" s="4"/>
      <c r="I116" s="119" t="str">
        <f t="shared" si="4"/>
        <v>No</v>
      </c>
      <c r="J116" s="137"/>
      <c r="K116" s="123"/>
      <c r="L116" s="4"/>
      <c r="M116" s="4"/>
      <c r="N116" s="211"/>
      <c r="O116" s="137"/>
      <c r="P116" s="4"/>
      <c r="Q116" s="5"/>
      <c r="R116" s="137"/>
      <c r="S116" s="5"/>
      <c r="T116" s="137"/>
      <c r="U116" s="4"/>
      <c r="V116" s="137"/>
      <c r="W116" s="4"/>
      <c r="X116" s="4"/>
      <c r="Y116" s="5"/>
      <c r="Z116" s="137"/>
      <c r="AA116" s="5"/>
      <c r="AB116" s="154"/>
      <c r="AC116" s="155"/>
      <c r="AD116" s="123"/>
      <c r="AE116" s="5"/>
      <c r="AF116" s="248"/>
    </row>
    <row r="117" spans="1:32" x14ac:dyDescent="0.3">
      <c r="A117" s="115"/>
      <c r="B117" s="137"/>
      <c r="C117" s="4"/>
      <c r="D117" s="4"/>
      <c r="E117" s="4"/>
      <c r="F117" s="126"/>
      <c r="G117" s="206"/>
      <c r="H117" s="4"/>
      <c r="I117" s="119" t="str">
        <f t="shared" si="4"/>
        <v>No</v>
      </c>
      <c r="J117" s="137"/>
      <c r="K117" s="123"/>
      <c r="L117" s="4"/>
      <c r="M117" s="4"/>
      <c r="N117" s="211"/>
      <c r="O117" s="137"/>
      <c r="P117" s="4"/>
      <c r="Q117" s="5"/>
      <c r="R117" s="137"/>
      <c r="S117" s="5"/>
      <c r="T117" s="137"/>
      <c r="U117" s="4"/>
      <c r="V117" s="137"/>
      <c r="W117" s="4"/>
      <c r="X117" s="4"/>
      <c r="Y117" s="5"/>
      <c r="Z117" s="137"/>
      <c r="AA117" s="5"/>
      <c r="AB117" s="154"/>
      <c r="AC117" s="155"/>
      <c r="AD117" s="123"/>
      <c r="AE117" s="5"/>
      <c r="AF117" s="248"/>
    </row>
    <row r="118" spans="1:32" x14ac:dyDescent="0.3">
      <c r="A118" s="115"/>
      <c r="B118" s="137"/>
      <c r="C118" s="4"/>
      <c r="D118" s="4"/>
      <c r="E118" s="4"/>
      <c r="F118" s="126"/>
      <c r="G118" s="206"/>
      <c r="H118" s="4"/>
      <c r="I118" s="119" t="str">
        <f t="shared" si="4"/>
        <v>No</v>
      </c>
      <c r="J118" s="137"/>
      <c r="K118" s="123"/>
      <c r="L118" s="4"/>
      <c r="M118" s="4"/>
      <c r="N118" s="211"/>
      <c r="O118" s="137"/>
      <c r="P118" s="4"/>
      <c r="Q118" s="5"/>
      <c r="R118" s="137"/>
      <c r="S118" s="5"/>
      <c r="T118" s="137"/>
      <c r="U118" s="4"/>
      <c r="V118" s="137"/>
      <c r="W118" s="4"/>
      <c r="X118" s="4"/>
      <c r="Y118" s="5"/>
      <c r="Z118" s="137"/>
      <c r="AA118" s="5"/>
      <c r="AB118" s="154"/>
      <c r="AC118" s="155"/>
      <c r="AD118" s="123"/>
      <c r="AE118" s="5"/>
      <c r="AF118" s="248"/>
    </row>
    <row r="119" spans="1:32" x14ac:dyDescent="0.3">
      <c r="A119" s="115"/>
      <c r="B119" s="137"/>
      <c r="C119" s="4"/>
      <c r="D119" s="4"/>
      <c r="E119" s="4"/>
      <c r="F119" s="126"/>
      <c r="G119" s="206"/>
      <c r="H119" s="4"/>
      <c r="I119" s="119" t="str">
        <f t="shared" si="4"/>
        <v>No</v>
      </c>
      <c r="J119" s="137"/>
      <c r="K119" s="123"/>
      <c r="L119" s="4"/>
      <c r="M119" s="4"/>
      <c r="N119" s="211"/>
      <c r="O119" s="137"/>
      <c r="P119" s="4"/>
      <c r="Q119" s="5"/>
      <c r="R119" s="137"/>
      <c r="S119" s="5"/>
      <c r="T119" s="137"/>
      <c r="U119" s="4"/>
      <c r="V119" s="137"/>
      <c r="W119" s="4"/>
      <c r="X119" s="4"/>
      <c r="Y119" s="5"/>
      <c r="Z119" s="137"/>
      <c r="AA119" s="5"/>
      <c r="AB119" s="154"/>
      <c r="AC119" s="155"/>
      <c r="AD119" s="123"/>
      <c r="AE119" s="5"/>
      <c r="AF119" s="248"/>
    </row>
    <row r="120" spans="1:32" x14ac:dyDescent="0.3">
      <c r="A120" s="115"/>
      <c r="B120" s="137"/>
      <c r="C120" s="4"/>
      <c r="D120" s="4"/>
      <c r="E120" s="4"/>
      <c r="F120" s="126"/>
      <c r="G120" s="206"/>
      <c r="H120" s="4"/>
      <c r="I120" s="119" t="str">
        <f t="shared" ref="I120:I151" si="5">IF(H120&gt;=37.8,"Yes","No")</f>
        <v>No</v>
      </c>
      <c r="J120" s="137"/>
      <c r="K120" s="123"/>
      <c r="L120" s="4"/>
      <c r="M120" s="4"/>
      <c r="N120" s="211"/>
      <c r="O120" s="137"/>
      <c r="P120" s="4"/>
      <c r="Q120" s="5"/>
      <c r="R120" s="137"/>
      <c r="S120" s="5"/>
      <c r="T120" s="137"/>
      <c r="U120" s="4"/>
      <c r="V120" s="137"/>
      <c r="W120" s="4"/>
      <c r="X120" s="4"/>
      <c r="Y120" s="5"/>
      <c r="Z120" s="137"/>
      <c r="AA120" s="5"/>
      <c r="AB120" s="154"/>
      <c r="AC120" s="155"/>
      <c r="AD120" s="123"/>
      <c r="AE120" s="5"/>
      <c r="AF120" s="248"/>
    </row>
    <row r="121" spans="1:32" x14ac:dyDescent="0.3">
      <c r="A121" s="115"/>
      <c r="B121" s="137"/>
      <c r="C121" s="4"/>
      <c r="D121" s="4"/>
      <c r="E121" s="4"/>
      <c r="F121" s="126"/>
      <c r="G121" s="206"/>
      <c r="H121" s="4"/>
      <c r="I121" s="119" t="str">
        <f t="shared" si="5"/>
        <v>No</v>
      </c>
      <c r="J121" s="137"/>
      <c r="K121" s="123"/>
      <c r="L121" s="4"/>
      <c r="M121" s="4"/>
      <c r="N121" s="211"/>
      <c r="O121" s="137"/>
      <c r="P121" s="4"/>
      <c r="Q121" s="5"/>
      <c r="R121" s="137"/>
      <c r="S121" s="5"/>
      <c r="T121" s="137"/>
      <c r="U121" s="4"/>
      <c r="V121" s="137"/>
      <c r="W121" s="4"/>
      <c r="X121" s="4"/>
      <c r="Y121" s="5"/>
      <c r="Z121" s="137"/>
      <c r="AA121" s="5"/>
      <c r="AB121" s="154"/>
      <c r="AC121" s="155"/>
      <c r="AD121" s="123"/>
      <c r="AE121" s="5"/>
      <c r="AF121" s="248"/>
    </row>
    <row r="122" spans="1:32" x14ac:dyDescent="0.3">
      <c r="A122" s="115"/>
      <c r="B122" s="137"/>
      <c r="C122" s="4"/>
      <c r="D122" s="4"/>
      <c r="E122" s="4"/>
      <c r="F122" s="126"/>
      <c r="G122" s="206"/>
      <c r="H122" s="4"/>
      <c r="I122" s="119" t="str">
        <f t="shared" si="5"/>
        <v>No</v>
      </c>
      <c r="J122" s="137"/>
      <c r="K122" s="123"/>
      <c r="L122" s="4"/>
      <c r="M122" s="4"/>
      <c r="N122" s="211"/>
      <c r="O122" s="137"/>
      <c r="P122" s="4"/>
      <c r="Q122" s="5"/>
      <c r="R122" s="137"/>
      <c r="S122" s="5"/>
      <c r="T122" s="137"/>
      <c r="U122" s="4"/>
      <c r="V122" s="137"/>
      <c r="W122" s="4"/>
      <c r="X122" s="4"/>
      <c r="Y122" s="5"/>
      <c r="Z122" s="137"/>
      <c r="AA122" s="5"/>
      <c r="AB122" s="154"/>
      <c r="AC122" s="155"/>
      <c r="AD122" s="123"/>
      <c r="AE122" s="5"/>
      <c r="AF122" s="248"/>
    </row>
    <row r="123" spans="1:32" x14ac:dyDescent="0.3">
      <c r="A123" s="115"/>
      <c r="B123" s="137"/>
      <c r="C123" s="4"/>
      <c r="D123" s="4"/>
      <c r="E123" s="4"/>
      <c r="F123" s="126"/>
      <c r="G123" s="206"/>
      <c r="H123" s="4"/>
      <c r="I123" s="119" t="str">
        <f t="shared" si="5"/>
        <v>No</v>
      </c>
      <c r="J123" s="137"/>
      <c r="K123" s="123"/>
      <c r="L123" s="4"/>
      <c r="M123" s="4"/>
      <c r="N123" s="211"/>
      <c r="O123" s="137"/>
      <c r="P123" s="4"/>
      <c r="Q123" s="5"/>
      <c r="R123" s="137"/>
      <c r="S123" s="5"/>
      <c r="T123" s="137"/>
      <c r="U123" s="4"/>
      <c r="V123" s="137"/>
      <c r="W123" s="4"/>
      <c r="X123" s="4"/>
      <c r="Y123" s="5"/>
      <c r="Z123" s="137"/>
      <c r="AA123" s="5"/>
      <c r="AB123" s="154"/>
      <c r="AC123" s="155"/>
      <c r="AD123" s="123"/>
      <c r="AE123" s="5"/>
      <c r="AF123" s="248"/>
    </row>
    <row r="124" spans="1:32" x14ac:dyDescent="0.3">
      <c r="A124" s="115"/>
      <c r="B124" s="137"/>
      <c r="C124" s="4"/>
      <c r="D124" s="4"/>
      <c r="E124" s="4"/>
      <c r="F124" s="126"/>
      <c r="G124" s="206"/>
      <c r="H124" s="4"/>
      <c r="I124" s="119" t="str">
        <f t="shared" si="5"/>
        <v>No</v>
      </c>
      <c r="J124" s="137"/>
      <c r="K124" s="123"/>
      <c r="L124" s="4"/>
      <c r="M124" s="4"/>
      <c r="N124" s="211"/>
      <c r="O124" s="137"/>
      <c r="P124" s="4"/>
      <c r="Q124" s="5"/>
      <c r="R124" s="137"/>
      <c r="S124" s="5"/>
      <c r="T124" s="137"/>
      <c r="U124" s="4"/>
      <c r="V124" s="137"/>
      <c r="W124" s="4"/>
      <c r="X124" s="4"/>
      <c r="Y124" s="5"/>
      <c r="Z124" s="137"/>
      <c r="AA124" s="5"/>
      <c r="AB124" s="154"/>
      <c r="AC124" s="155"/>
      <c r="AD124" s="123"/>
      <c r="AE124" s="5"/>
      <c r="AF124" s="248"/>
    </row>
    <row r="125" spans="1:32" x14ac:dyDescent="0.3">
      <c r="A125" s="115"/>
      <c r="B125" s="137"/>
      <c r="C125" s="4"/>
      <c r="D125" s="4"/>
      <c r="E125" s="4"/>
      <c r="F125" s="126"/>
      <c r="G125" s="206"/>
      <c r="H125" s="4"/>
      <c r="I125" s="119" t="str">
        <f t="shared" si="5"/>
        <v>No</v>
      </c>
      <c r="J125" s="137"/>
      <c r="K125" s="123"/>
      <c r="L125" s="4"/>
      <c r="M125" s="4"/>
      <c r="N125" s="211"/>
      <c r="O125" s="137"/>
      <c r="P125" s="4"/>
      <c r="Q125" s="5"/>
      <c r="R125" s="137"/>
      <c r="S125" s="5"/>
      <c r="T125" s="137"/>
      <c r="U125" s="4"/>
      <c r="V125" s="137"/>
      <c r="W125" s="4"/>
      <c r="X125" s="4"/>
      <c r="Y125" s="5"/>
      <c r="Z125" s="137"/>
      <c r="AA125" s="5"/>
      <c r="AB125" s="154"/>
      <c r="AC125" s="155"/>
      <c r="AD125" s="123"/>
      <c r="AE125" s="121"/>
      <c r="AF125" s="248"/>
    </row>
    <row r="126" spans="1:32" x14ac:dyDescent="0.3">
      <c r="A126" s="115"/>
      <c r="B126" s="137"/>
      <c r="C126" s="4"/>
      <c r="D126" s="4"/>
      <c r="E126" s="4"/>
      <c r="F126" s="126"/>
      <c r="G126" s="206"/>
      <c r="H126" s="4"/>
      <c r="I126" s="119" t="str">
        <f t="shared" si="5"/>
        <v>No</v>
      </c>
      <c r="J126" s="137"/>
      <c r="K126" s="123"/>
      <c r="L126" s="4"/>
      <c r="M126" s="4"/>
      <c r="N126" s="211"/>
      <c r="O126" s="137"/>
      <c r="P126" s="4"/>
      <c r="Q126" s="5"/>
      <c r="R126" s="137"/>
      <c r="S126" s="5"/>
      <c r="T126" s="137"/>
      <c r="U126" s="4"/>
      <c r="V126" s="137"/>
      <c r="W126" s="4"/>
      <c r="X126" s="4"/>
      <c r="Y126" s="5"/>
      <c r="Z126" s="137"/>
      <c r="AA126" s="5"/>
      <c r="AB126" s="154"/>
      <c r="AC126" s="155"/>
      <c r="AD126" s="123"/>
      <c r="AE126" s="121"/>
      <c r="AF126" s="248"/>
    </row>
    <row r="127" spans="1:32" x14ac:dyDescent="0.3">
      <c r="A127" s="115"/>
      <c r="B127" s="137"/>
      <c r="C127" s="4"/>
      <c r="D127" s="4"/>
      <c r="E127" s="4"/>
      <c r="F127" s="126"/>
      <c r="G127" s="206"/>
      <c r="H127" s="4"/>
      <c r="I127" s="119" t="str">
        <f t="shared" si="5"/>
        <v>No</v>
      </c>
      <c r="J127" s="137"/>
      <c r="K127" s="123"/>
      <c r="L127" s="4"/>
      <c r="M127" s="4"/>
      <c r="N127" s="211"/>
      <c r="O127" s="137"/>
      <c r="P127" s="4"/>
      <c r="Q127" s="5"/>
      <c r="R127" s="137"/>
      <c r="S127" s="5"/>
      <c r="T127" s="137"/>
      <c r="U127" s="4"/>
      <c r="V127" s="137"/>
      <c r="W127" s="4"/>
      <c r="X127" s="4"/>
      <c r="Y127" s="5"/>
      <c r="Z127" s="137"/>
      <c r="AA127" s="5"/>
      <c r="AB127" s="154"/>
      <c r="AC127" s="155"/>
      <c r="AD127" s="123"/>
      <c r="AE127" s="121"/>
      <c r="AF127" s="248"/>
    </row>
    <row r="128" spans="1:32" x14ac:dyDescent="0.3">
      <c r="A128" s="115"/>
      <c r="B128" s="137"/>
      <c r="C128" s="4"/>
      <c r="D128" s="4"/>
      <c r="E128" s="4"/>
      <c r="F128" s="126"/>
      <c r="G128" s="206"/>
      <c r="H128" s="4"/>
      <c r="I128" s="119" t="str">
        <f t="shared" si="5"/>
        <v>No</v>
      </c>
      <c r="J128" s="137"/>
      <c r="K128" s="123"/>
      <c r="L128" s="4"/>
      <c r="M128" s="4"/>
      <c r="N128" s="211"/>
      <c r="O128" s="137"/>
      <c r="P128" s="4"/>
      <c r="Q128" s="5"/>
      <c r="R128" s="137"/>
      <c r="S128" s="5"/>
      <c r="T128" s="137"/>
      <c r="U128" s="4"/>
      <c r="V128" s="137"/>
      <c r="W128" s="4"/>
      <c r="X128" s="4"/>
      <c r="Y128" s="5"/>
      <c r="Z128" s="137"/>
      <c r="AA128" s="5"/>
      <c r="AB128" s="154"/>
      <c r="AC128" s="155"/>
      <c r="AD128" s="123"/>
      <c r="AE128" s="121"/>
      <c r="AF128" s="248"/>
    </row>
    <row r="129" spans="1:32" x14ac:dyDescent="0.3">
      <c r="A129" s="115"/>
      <c r="B129" s="137"/>
      <c r="C129" s="4"/>
      <c r="D129" s="4"/>
      <c r="E129" s="4"/>
      <c r="F129" s="126"/>
      <c r="G129" s="206"/>
      <c r="H129" s="4"/>
      <c r="I129" s="119" t="str">
        <f t="shared" si="5"/>
        <v>No</v>
      </c>
      <c r="J129" s="137"/>
      <c r="K129" s="123"/>
      <c r="L129" s="4"/>
      <c r="M129" s="4"/>
      <c r="N129" s="211"/>
      <c r="O129" s="137"/>
      <c r="P129" s="4"/>
      <c r="Q129" s="5"/>
      <c r="R129" s="137"/>
      <c r="S129" s="5"/>
      <c r="T129" s="137"/>
      <c r="U129" s="4"/>
      <c r="V129" s="137"/>
      <c r="W129" s="4"/>
      <c r="X129" s="4"/>
      <c r="Y129" s="5"/>
      <c r="Z129" s="137"/>
      <c r="AA129" s="5"/>
      <c r="AB129" s="154"/>
      <c r="AC129" s="155"/>
      <c r="AD129" s="123"/>
      <c r="AE129" s="121"/>
      <c r="AF129" s="248"/>
    </row>
    <row r="130" spans="1:32" x14ac:dyDescent="0.3">
      <c r="A130" s="115"/>
      <c r="B130" s="137"/>
      <c r="C130" s="4"/>
      <c r="D130" s="4"/>
      <c r="E130" s="4"/>
      <c r="F130" s="126"/>
      <c r="G130" s="206"/>
      <c r="H130" s="4"/>
      <c r="I130" s="119" t="str">
        <f t="shared" si="5"/>
        <v>No</v>
      </c>
      <c r="J130" s="137"/>
      <c r="K130" s="123"/>
      <c r="L130" s="4"/>
      <c r="M130" s="4"/>
      <c r="N130" s="211"/>
      <c r="O130" s="137"/>
      <c r="P130" s="4"/>
      <c r="Q130" s="5"/>
      <c r="R130" s="137"/>
      <c r="S130" s="5"/>
      <c r="T130" s="137"/>
      <c r="U130" s="4"/>
      <c r="V130" s="137"/>
      <c r="W130" s="4"/>
      <c r="X130" s="4"/>
      <c r="Y130" s="5"/>
      <c r="Z130" s="137"/>
      <c r="AA130" s="5"/>
      <c r="AB130" s="154"/>
      <c r="AC130" s="155"/>
      <c r="AD130" s="123"/>
      <c r="AE130" s="121"/>
      <c r="AF130" s="248"/>
    </row>
    <row r="131" spans="1:32" x14ac:dyDescent="0.3">
      <c r="A131" s="115"/>
      <c r="B131" s="137"/>
      <c r="C131" s="4"/>
      <c r="D131" s="4"/>
      <c r="E131" s="4"/>
      <c r="F131" s="126"/>
      <c r="G131" s="206"/>
      <c r="H131" s="4"/>
      <c r="I131" s="119" t="str">
        <f t="shared" si="5"/>
        <v>No</v>
      </c>
      <c r="J131" s="137"/>
      <c r="K131" s="123"/>
      <c r="L131" s="4"/>
      <c r="M131" s="4"/>
      <c r="N131" s="211"/>
      <c r="O131" s="137"/>
      <c r="P131" s="4"/>
      <c r="Q131" s="5"/>
      <c r="R131" s="137"/>
      <c r="S131" s="5"/>
      <c r="T131" s="137"/>
      <c r="U131" s="4"/>
      <c r="V131" s="137"/>
      <c r="W131" s="4"/>
      <c r="X131" s="4"/>
      <c r="Y131" s="5"/>
      <c r="Z131" s="137"/>
      <c r="AA131" s="5"/>
      <c r="AB131" s="154"/>
      <c r="AC131" s="155"/>
      <c r="AD131" s="123"/>
      <c r="AE131" s="121"/>
      <c r="AF131" s="248"/>
    </row>
    <row r="132" spans="1:32" x14ac:dyDescent="0.3">
      <c r="A132" s="115"/>
      <c r="B132" s="137"/>
      <c r="C132" s="4"/>
      <c r="D132" s="4"/>
      <c r="E132" s="4"/>
      <c r="F132" s="126"/>
      <c r="G132" s="206"/>
      <c r="H132" s="4"/>
      <c r="I132" s="119" t="str">
        <f t="shared" si="5"/>
        <v>No</v>
      </c>
      <c r="J132" s="137"/>
      <c r="K132" s="123"/>
      <c r="L132" s="4"/>
      <c r="M132" s="4"/>
      <c r="N132" s="211"/>
      <c r="O132" s="137"/>
      <c r="P132" s="4"/>
      <c r="Q132" s="5"/>
      <c r="R132" s="137"/>
      <c r="S132" s="5"/>
      <c r="T132" s="137"/>
      <c r="U132" s="4"/>
      <c r="V132" s="137"/>
      <c r="W132" s="4"/>
      <c r="X132" s="4"/>
      <c r="Y132" s="5"/>
      <c r="Z132" s="137"/>
      <c r="AA132" s="5"/>
      <c r="AB132" s="154"/>
      <c r="AC132" s="155"/>
      <c r="AD132" s="123"/>
      <c r="AE132" s="121"/>
      <c r="AF132" s="248"/>
    </row>
    <row r="133" spans="1:32" x14ac:dyDescent="0.3">
      <c r="A133" s="115"/>
      <c r="B133" s="137"/>
      <c r="C133" s="4"/>
      <c r="D133" s="4"/>
      <c r="E133" s="4"/>
      <c r="F133" s="126"/>
      <c r="G133" s="206"/>
      <c r="H133" s="4"/>
      <c r="I133" s="119" t="str">
        <f t="shared" si="5"/>
        <v>No</v>
      </c>
      <c r="J133" s="137"/>
      <c r="K133" s="123"/>
      <c r="L133" s="4"/>
      <c r="M133" s="4"/>
      <c r="N133" s="211"/>
      <c r="O133" s="137"/>
      <c r="P133" s="4"/>
      <c r="Q133" s="5"/>
      <c r="R133" s="137"/>
      <c r="S133" s="5"/>
      <c r="T133" s="137"/>
      <c r="U133" s="4"/>
      <c r="V133" s="137"/>
      <c r="W133" s="4"/>
      <c r="X133" s="4"/>
      <c r="Y133" s="5"/>
      <c r="Z133" s="137"/>
      <c r="AA133" s="5"/>
      <c r="AB133" s="154"/>
      <c r="AC133" s="155"/>
      <c r="AD133" s="123"/>
      <c r="AE133" s="121"/>
      <c r="AF133" s="248"/>
    </row>
    <row r="134" spans="1:32" x14ac:dyDescent="0.3">
      <c r="A134" s="115"/>
      <c r="B134" s="137"/>
      <c r="C134" s="4"/>
      <c r="D134" s="4"/>
      <c r="E134" s="4"/>
      <c r="F134" s="126"/>
      <c r="G134" s="206"/>
      <c r="H134" s="4"/>
      <c r="I134" s="119" t="str">
        <f t="shared" si="5"/>
        <v>No</v>
      </c>
      <c r="J134" s="137"/>
      <c r="K134" s="123"/>
      <c r="L134" s="4"/>
      <c r="M134" s="4"/>
      <c r="N134" s="211"/>
      <c r="O134" s="137"/>
      <c r="P134" s="4"/>
      <c r="Q134" s="5"/>
      <c r="R134" s="137"/>
      <c r="S134" s="5"/>
      <c r="T134" s="137"/>
      <c r="U134" s="4"/>
      <c r="V134" s="137"/>
      <c r="W134" s="4"/>
      <c r="X134" s="4"/>
      <c r="Y134" s="5"/>
      <c r="Z134" s="137"/>
      <c r="AA134" s="5"/>
      <c r="AB134" s="154"/>
      <c r="AC134" s="155"/>
      <c r="AD134" s="123"/>
      <c r="AE134" s="121"/>
      <c r="AF134" s="248"/>
    </row>
    <row r="135" spans="1:32" x14ac:dyDescent="0.3">
      <c r="A135" s="115"/>
      <c r="B135" s="137"/>
      <c r="C135" s="4"/>
      <c r="D135" s="4"/>
      <c r="E135" s="4"/>
      <c r="F135" s="126"/>
      <c r="G135" s="206"/>
      <c r="H135" s="4"/>
      <c r="I135" s="119" t="str">
        <f t="shared" si="5"/>
        <v>No</v>
      </c>
      <c r="J135" s="137"/>
      <c r="K135" s="123"/>
      <c r="L135" s="4"/>
      <c r="M135" s="4"/>
      <c r="N135" s="211"/>
      <c r="O135" s="137"/>
      <c r="P135" s="4"/>
      <c r="Q135" s="5"/>
      <c r="R135" s="137"/>
      <c r="S135" s="5"/>
      <c r="T135" s="137"/>
      <c r="U135" s="4"/>
      <c r="V135" s="137"/>
      <c r="W135" s="4"/>
      <c r="X135" s="4"/>
      <c r="Y135" s="5"/>
      <c r="Z135" s="137"/>
      <c r="AA135" s="5"/>
      <c r="AB135" s="154"/>
      <c r="AC135" s="155"/>
      <c r="AD135" s="123"/>
      <c r="AE135" s="121"/>
      <c r="AF135" s="248"/>
    </row>
    <row r="136" spans="1:32" x14ac:dyDescent="0.3">
      <c r="A136" s="115"/>
      <c r="B136" s="137"/>
      <c r="C136" s="4"/>
      <c r="D136" s="4"/>
      <c r="E136" s="4"/>
      <c r="F136" s="126"/>
      <c r="G136" s="206"/>
      <c r="H136" s="4"/>
      <c r="I136" s="119" t="str">
        <f t="shared" si="5"/>
        <v>No</v>
      </c>
      <c r="J136" s="137"/>
      <c r="K136" s="123"/>
      <c r="L136" s="4"/>
      <c r="M136" s="4"/>
      <c r="N136" s="211"/>
      <c r="O136" s="137"/>
      <c r="P136" s="4"/>
      <c r="Q136" s="5"/>
      <c r="R136" s="137"/>
      <c r="S136" s="5"/>
      <c r="T136" s="137"/>
      <c r="U136" s="4"/>
      <c r="V136" s="137"/>
      <c r="W136" s="4"/>
      <c r="X136" s="4"/>
      <c r="Y136" s="5"/>
      <c r="Z136" s="137"/>
      <c r="AA136" s="5"/>
      <c r="AB136" s="154"/>
      <c r="AC136" s="155"/>
      <c r="AD136" s="123"/>
      <c r="AE136" s="121"/>
      <c r="AF136" s="248"/>
    </row>
    <row r="137" spans="1:32" x14ac:dyDescent="0.3">
      <c r="A137" s="115"/>
      <c r="B137" s="137"/>
      <c r="C137" s="4"/>
      <c r="D137" s="4"/>
      <c r="E137" s="4"/>
      <c r="F137" s="126"/>
      <c r="G137" s="206"/>
      <c r="H137" s="4"/>
      <c r="I137" s="119" t="str">
        <f t="shared" si="5"/>
        <v>No</v>
      </c>
      <c r="J137" s="137"/>
      <c r="K137" s="123"/>
      <c r="L137" s="4"/>
      <c r="M137" s="4"/>
      <c r="N137" s="211"/>
      <c r="O137" s="137"/>
      <c r="P137" s="4"/>
      <c r="Q137" s="5"/>
      <c r="R137" s="137"/>
      <c r="S137" s="5"/>
      <c r="T137" s="137"/>
      <c r="U137" s="4"/>
      <c r="V137" s="137"/>
      <c r="W137" s="4"/>
      <c r="X137" s="4"/>
      <c r="Y137" s="5"/>
      <c r="Z137" s="137"/>
      <c r="AA137" s="5"/>
      <c r="AB137" s="154"/>
      <c r="AC137" s="155"/>
      <c r="AD137" s="123"/>
      <c r="AE137" s="121"/>
      <c r="AF137" s="248"/>
    </row>
    <row r="138" spans="1:32" x14ac:dyDescent="0.3">
      <c r="A138" s="115"/>
      <c r="B138" s="137"/>
      <c r="C138" s="4"/>
      <c r="D138" s="4"/>
      <c r="E138" s="4"/>
      <c r="F138" s="126"/>
      <c r="G138" s="206"/>
      <c r="H138" s="4"/>
      <c r="I138" s="119" t="str">
        <f t="shared" si="5"/>
        <v>No</v>
      </c>
      <c r="J138" s="137"/>
      <c r="K138" s="123"/>
      <c r="L138" s="4"/>
      <c r="M138" s="4"/>
      <c r="N138" s="211"/>
      <c r="O138" s="137"/>
      <c r="P138" s="4"/>
      <c r="Q138" s="5"/>
      <c r="R138" s="137"/>
      <c r="S138" s="5"/>
      <c r="T138" s="137"/>
      <c r="U138" s="4"/>
      <c r="V138" s="137"/>
      <c r="W138" s="4"/>
      <c r="X138" s="4"/>
      <c r="Y138" s="5"/>
      <c r="Z138" s="137"/>
      <c r="AA138" s="5"/>
      <c r="AB138" s="154"/>
      <c r="AC138" s="155"/>
      <c r="AD138" s="123"/>
      <c r="AE138" s="121"/>
      <c r="AF138" s="248"/>
    </row>
    <row r="139" spans="1:32" x14ac:dyDescent="0.3">
      <c r="A139" s="115"/>
      <c r="B139" s="137"/>
      <c r="C139" s="4"/>
      <c r="D139" s="4"/>
      <c r="E139" s="4"/>
      <c r="F139" s="126"/>
      <c r="G139" s="206"/>
      <c r="H139" s="4"/>
      <c r="I139" s="119" t="str">
        <f t="shared" si="5"/>
        <v>No</v>
      </c>
      <c r="J139" s="137"/>
      <c r="K139" s="123"/>
      <c r="L139" s="4"/>
      <c r="M139" s="4"/>
      <c r="N139" s="211"/>
      <c r="O139" s="137"/>
      <c r="P139" s="4"/>
      <c r="Q139" s="5"/>
      <c r="R139" s="137"/>
      <c r="S139" s="5"/>
      <c r="T139" s="137"/>
      <c r="U139" s="4"/>
      <c r="V139" s="137"/>
      <c r="W139" s="4"/>
      <c r="X139" s="4"/>
      <c r="Y139" s="5"/>
      <c r="Z139" s="137"/>
      <c r="AA139" s="5"/>
      <c r="AB139" s="154"/>
      <c r="AC139" s="155"/>
      <c r="AD139" s="123"/>
      <c r="AE139" s="121"/>
      <c r="AF139" s="248"/>
    </row>
    <row r="140" spans="1:32" x14ac:dyDescent="0.3">
      <c r="A140" s="115"/>
      <c r="B140" s="137"/>
      <c r="C140" s="4"/>
      <c r="D140" s="4"/>
      <c r="E140" s="4"/>
      <c r="F140" s="126"/>
      <c r="G140" s="206"/>
      <c r="H140" s="4"/>
      <c r="I140" s="119" t="str">
        <f t="shared" si="5"/>
        <v>No</v>
      </c>
      <c r="J140" s="137"/>
      <c r="K140" s="123"/>
      <c r="L140" s="4"/>
      <c r="M140" s="4"/>
      <c r="N140" s="211"/>
      <c r="O140" s="137"/>
      <c r="P140" s="4"/>
      <c r="Q140" s="5"/>
      <c r="R140" s="137"/>
      <c r="S140" s="5"/>
      <c r="T140" s="137"/>
      <c r="U140" s="4"/>
      <c r="V140" s="137"/>
      <c r="W140" s="4"/>
      <c r="X140" s="4"/>
      <c r="Y140" s="5"/>
      <c r="Z140" s="137"/>
      <c r="AA140" s="5"/>
      <c r="AB140" s="154"/>
      <c r="AC140" s="155"/>
      <c r="AD140" s="123"/>
      <c r="AE140" s="121"/>
      <c r="AF140" s="248"/>
    </row>
    <row r="141" spans="1:32" x14ac:dyDescent="0.3">
      <c r="A141" s="115"/>
      <c r="B141" s="137"/>
      <c r="C141" s="4"/>
      <c r="D141" s="4"/>
      <c r="E141" s="4"/>
      <c r="F141" s="126"/>
      <c r="G141" s="206"/>
      <c r="H141" s="4"/>
      <c r="I141" s="119" t="str">
        <f t="shared" si="5"/>
        <v>No</v>
      </c>
      <c r="J141" s="137"/>
      <c r="K141" s="123"/>
      <c r="L141" s="4"/>
      <c r="M141" s="4"/>
      <c r="N141" s="211"/>
      <c r="O141" s="137"/>
      <c r="P141" s="4"/>
      <c r="Q141" s="5"/>
      <c r="R141" s="137"/>
      <c r="S141" s="5"/>
      <c r="T141" s="137"/>
      <c r="U141" s="4"/>
      <c r="V141" s="137"/>
      <c r="W141" s="4"/>
      <c r="X141" s="4"/>
      <c r="Y141" s="5"/>
      <c r="Z141" s="137"/>
      <c r="AA141" s="5"/>
      <c r="AB141" s="154"/>
      <c r="AC141" s="155"/>
      <c r="AD141" s="123"/>
      <c r="AE141" s="121"/>
      <c r="AF141" s="248"/>
    </row>
    <row r="142" spans="1:32" x14ac:dyDescent="0.3">
      <c r="A142" s="115"/>
      <c r="B142" s="137"/>
      <c r="C142" s="4"/>
      <c r="D142" s="4"/>
      <c r="E142" s="4"/>
      <c r="F142" s="126"/>
      <c r="G142" s="206"/>
      <c r="H142" s="4"/>
      <c r="I142" s="119" t="str">
        <f t="shared" si="5"/>
        <v>No</v>
      </c>
      <c r="J142" s="137"/>
      <c r="K142" s="123"/>
      <c r="L142" s="4"/>
      <c r="M142" s="4"/>
      <c r="N142" s="211"/>
      <c r="O142" s="137"/>
      <c r="P142" s="4"/>
      <c r="Q142" s="5"/>
      <c r="R142" s="137"/>
      <c r="S142" s="5"/>
      <c r="T142" s="137"/>
      <c r="U142" s="4"/>
      <c r="V142" s="137"/>
      <c r="W142" s="4"/>
      <c r="X142" s="4"/>
      <c r="Y142" s="5"/>
      <c r="Z142" s="137"/>
      <c r="AA142" s="5"/>
      <c r="AB142" s="154"/>
      <c r="AC142" s="155"/>
      <c r="AD142" s="123"/>
      <c r="AE142" s="121"/>
      <c r="AF142" s="248"/>
    </row>
    <row r="143" spans="1:32" x14ac:dyDescent="0.3">
      <c r="A143" s="115"/>
      <c r="B143" s="137"/>
      <c r="C143" s="4"/>
      <c r="D143" s="4"/>
      <c r="E143" s="4"/>
      <c r="F143" s="126"/>
      <c r="G143" s="206"/>
      <c r="H143" s="4"/>
      <c r="I143" s="119" t="str">
        <f t="shared" si="5"/>
        <v>No</v>
      </c>
      <c r="J143" s="137"/>
      <c r="K143" s="123"/>
      <c r="L143" s="4"/>
      <c r="M143" s="4"/>
      <c r="N143" s="211"/>
      <c r="O143" s="137"/>
      <c r="P143" s="4"/>
      <c r="Q143" s="5"/>
      <c r="R143" s="137"/>
      <c r="S143" s="5"/>
      <c r="T143" s="137"/>
      <c r="U143" s="4"/>
      <c r="V143" s="137"/>
      <c r="W143" s="4"/>
      <c r="X143" s="4"/>
      <c r="Y143" s="5"/>
      <c r="Z143" s="137"/>
      <c r="AA143" s="5"/>
      <c r="AB143" s="154"/>
      <c r="AC143" s="155"/>
      <c r="AD143" s="123"/>
      <c r="AE143" s="121"/>
      <c r="AF143" s="248"/>
    </row>
    <row r="144" spans="1:32" x14ac:dyDescent="0.3">
      <c r="A144" s="115"/>
      <c r="B144" s="137"/>
      <c r="C144" s="4"/>
      <c r="D144" s="4"/>
      <c r="E144" s="4"/>
      <c r="F144" s="126"/>
      <c r="G144" s="206"/>
      <c r="H144" s="4"/>
      <c r="I144" s="119" t="str">
        <f t="shared" si="5"/>
        <v>No</v>
      </c>
      <c r="J144" s="137"/>
      <c r="K144" s="123"/>
      <c r="L144" s="4"/>
      <c r="M144" s="4"/>
      <c r="N144" s="211"/>
      <c r="O144" s="137"/>
      <c r="P144" s="4"/>
      <c r="Q144" s="5"/>
      <c r="R144" s="137"/>
      <c r="S144" s="5"/>
      <c r="T144" s="137"/>
      <c r="U144" s="4"/>
      <c r="V144" s="137"/>
      <c r="W144" s="4"/>
      <c r="X144" s="4"/>
      <c r="Y144" s="5"/>
      <c r="Z144" s="137"/>
      <c r="AA144" s="5"/>
      <c r="AB144" s="154"/>
      <c r="AC144" s="155"/>
      <c r="AD144" s="123"/>
      <c r="AE144" s="121"/>
      <c r="AF144" s="248"/>
    </row>
    <row r="145" spans="1:32" x14ac:dyDescent="0.3">
      <c r="A145" s="115"/>
      <c r="B145" s="137"/>
      <c r="C145" s="4"/>
      <c r="D145" s="4"/>
      <c r="E145" s="4"/>
      <c r="F145" s="126"/>
      <c r="G145" s="206"/>
      <c r="H145" s="4"/>
      <c r="I145" s="119" t="str">
        <f t="shared" si="5"/>
        <v>No</v>
      </c>
      <c r="J145" s="137"/>
      <c r="K145" s="123"/>
      <c r="L145" s="4"/>
      <c r="M145" s="4"/>
      <c r="N145" s="211"/>
      <c r="O145" s="137"/>
      <c r="P145" s="4"/>
      <c r="Q145" s="5"/>
      <c r="R145" s="137"/>
      <c r="S145" s="5"/>
      <c r="T145" s="137"/>
      <c r="U145" s="4"/>
      <c r="V145" s="137"/>
      <c r="W145" s="4"/>
      <c r="X145" s="4"/>
      <c r="Y145" s="5"/>
      <c r="Z145" s="137"/>
      <c r="AA145" s="5"/>
      <c r="AB145" s="154"/>
      <c r="AC145" s="155"/>
      <c r="AD145" s="123"/>
      <c r="AE145" s="121"/>
      <c r="AF145" s="248"/>
    </row>
    <row r="146" spans="1:32" x14ac:dyDescent="0.3">
      <c r="A146" s="115"/>
      <c r="B146" s="137"/>
      <c r="C146" s="4"/>
      <c r="D146" s="4"/>
      <c r="E146" s="4"/>
      <c r="F146" s="126"/>
      <c r="G146" s="206"/>
      <c r="H146" s="4"/>
      <c r="I146" s="119" t="str">
        <f t="shared" si="5"/>
        <v>No</v>
      </c>
      <c r="J146" s="137"/>
      <c r="K146" s="123"/>
      <c r="L146" s="4"/>
      <c r="M146" s="4"/>
      <c r="N146" s="211"/>
      <c r="O146" s="137"/>
      <c r="P146" s="4"/>
      <c r="Q146" s="5"/>
      <c r="R146" s="137"/>
      <c r="S146" s="5"/>
      <c r="T146" s="137"/>
      <c r="U146" s="4"/>
      <c r="V146" s="137"/>
      <c r="W146" s="4"/>
      <c r="X146" s="4"/>
      <c r="Y146" s="5"/>
      <c r="Z146" s="137"/>
      <c r="AA146" s="5"/>
      <c r="AB146" s="154"/>
      <c r="AC146" s="155"/>
      <c r="AD146" s="123"/>
      <c r="AE146" s="121"/>
      <c r="AF146" s="248"/>
    </row>
    <row r="147" spans="1:32" x14ac:dyDescent="0.3">
      <c r="A147" s="115"/>
      <c r="B147" s="137"/>
      <c r="C147" s="4"/>
      <c r="D147" s="4"/>
      <c r="E147" s="4"/>
      <c r="F147" s="126"/>
      <c r="G147" s="206"/>
      <c r="H147" s="4"/>
      <c r="I147" s="119" t="str">
        <f t="shared" si="5"/>
        <v>No</v>
      </c>
      <c r="J147" s="137"/>
      <c r="K147" s="123"/>
      <c r="L147" s="4"/>
      <c r="M147" s="4"/>
      <c r="N147" s="211"/>
      <c r="O147" s="137"/>
      <c r="P147" s="4"/>
      <c r="Q147" s="5"/>
      <c r="R147" s="137"/>
      <c r="S147" s="5"/>
      <c r="T147" s="137"/>
      <c r="U147" s="4"/>
      <c r="V147" s="137"/>
      <c r="W147" s="4"/>
      <c r="X147" s="4"/>
      <c r="Y147" s="5"/>
      <c r="Z147" s="137"/>
      <c r="AA147" s="5"/>
      <c r="AB147" s="154"/>
      <c r="AC147" s="155"/>
      <c r="AD147" s="123"/>
      <c r="AE147" s="121"/>
      <c r="AF147" s="248"/>
    </row>
    <row r="148" spans="1:32" x14ac:dyDescent="0.3">
      <c r="A148" s="115"/>
      <c r="B148" s="137"/>
      <c r="C148" s="4"/>
      <c r="D148" s="4"/>
      <c r="E148" s="4"/>
      <c r="F148" s="126"/>
      <c r="G148" s="206"/>
      <c r="H148" s="4"/>
      <c r="I148" s="119" t="str">
        <f t="shared" si="5"/>
        <v>No</v>
      </c>
      <c r="J148" s="137"/>
      <c r="K148" s="123"/>
      <c r="L148" s="4"/>
      <c r="M148" s="4"/>
      <c r="N148" s="211"/>
      <c r="O148" s="137"/>
      <c r="P148" s="4"/>
      <c r="Q148" s="5"/>
      <c r="R148" s="137"/>
      <c r="S148" s="5"/>
      <c r="T148" s="137"/>
      <c r="U148" s="4"/>
      <c r="V148" s="137"/>
      <c r="W148" s="4"/>
      <c r="X148" s="4"/>
      <c r="Y148" s="5"/>
      <c r="Z148" s="137"/>
      <c r="AA148" s="5"/>
      <c r="AB148" s="154"/>
      <c r="AC148" s="155"/>
      <c r="AD148" s="123"/>
      <c r="AE148" s="121"/>
      <c r="AF148" s="248"/>
    </row>
    <row r="149" spans="1:32" x14ac:dyDescent="0.3">
      <c r="A149" s="115"/>
      <c r="B149" s="138"/>
      <c r="C149" s="9"/>
      <c r="D149" s="9"/>
      <c r="E149" s="9"/>
      <c r="F149" s="128"/>
      <c r="G149" s="206"/>
      <c r="H149" s="4"/>
      <c r="I149" s="119" t="str">
        <f t="shared" si="5"/>
        <v>No</v>
      </c>
      <c r="J149" s="138"/>
      <c r="K149" s="237"/>
      <c r="L149" s="4"/>
      <c r="M149" s="4"/>
      <c r="N149" s="117"/>
      <c r="O149" s="138"/>
      <c r="P149" s="9"/>
      <c r="Q149" s="147"/>
      <c r="R149" s="138"/>
      <c r="S149" s="147"/>
      <c r="T149" s="138"/>
      <c r="U149" s="4"/>
      <c r="V149" s="137"/>
      <c r="W149" s="4"/>
      <c r="X149" s="4"/>
      <c r="Y149" s="5"/>
      <c r="Z149" s="137"/>
      <c r="AA149" s="5"/>
      <c r="AB149" s="154"/>
      <c r="AC149" s="155"/>
      <c r="AD149" s="123"/>
      <c r="AE149" s="120"/>
      <c r="AF149" s="248"/>
    </row>
    <row r="150" spans="1:32" x14ac:dyDescent="0.3">
      <c r="A150" s="115"/>
      <c r="B150" s="137"/>
      <c r="C150" s="4"/>
      <c r="D150" s="4"/>
      <c r="E150" s="4"/>
      <c r="F150" s="126"/>
      <c r="G150" s="206"/>
      <c r="H150" s="4"/>
      <c r="I150" s="119" t="str">
        <f t="shared" si="5"/>
        <v>No</v>
      </c>
      <c r="J150" s="137"/>
      <c r="K150" s="123"/>
      <c r="L150" s="4"/>
      <c r="M150" s="4"/>
      <c r="N150" s="211"/>
      <c r="O150" s="137"/>
      <c r="P150" s="4"/>
      <c r="Q150" s="5"/>
      <c r="R150" s="137"/>
      <c r="S150" s="5"/>
      <c r="T150" s="137"/>
      <c r="U150" s="4"/>
      <c r="V150" s="137"/>
      <c r="W150" s="4"/>
      <c r="X150" s="4"/>
      <c r="Y150" s="5"/>
      <c r="Z150" s="137"/>
      <c r="AA150" s="5"/>
      <c r="AB150" s="154"/>
      <c r="AC150" s="155"/>
      <c r="AD150" s="123"/>
      <c r="AE150" s="121"/>
      <c r="AF150" s="248"/>
    </row>
    <row r="151" spans="1:32" x14ac:dyDescent="0.3">
      <c r="A151" s="115"/>
      <c r="B151" s="137"/>
      <c r="C151" s="4"/>
      <c r="D151" s="4"/>
      <c r="E151" s="4"/>
      <c r="F151" s="126"/>
      <c r="G151" s="206"/>
      <c r="H151" s="4"/>
      <c r="I151" s="119" t="str">
        <f t="shared" si="5"/>
        <v>No</v>
      </c>
      <c r="J151" s="137"/>
      <c r="K151" s="123"/>
      <c r="L151" s="4"/>
      <c r="M151" s="4"/>
      <c r="N151" s="211"/>
      <c r="O151" s="137"/>
      <c r="P151" s="4"/>
      <c r="Q151" s="5"/>
      <c r="R151" s="137"/>
      <c r="S151" s="5"/>
      <c r="T151" s="137"/>
      <c r="U151" s="4"/>
      <c r="V151" s="137"/>
      <c r="W151" s="4"/>
      <c r="X151" s="4"/>
      <c r="Y151" s="5"/>
      <c r="Z151" s="137"/>
      <c r="AA151" s="5"/>
      <c r="AB151" s="154"/>
      <c r="AC151" s="155"/>
      <c r="AD151" s="123"/>
      <c r="AE151" s="121"/>
      <c r="AF151" s="248"/>
    </row>
    <row r="152" spans="1:32" x14ac:dyDescent="0.3">
      <c r="A152" s="115"/>
      <c r="B152" s="137"/>
      <c r="C152" s="4"/>
      <c r="D152" s="4"/>
      <c r="E152" s="4"/>
      <c r="F152" s="126"/>
      <c r="G152" s="206"/>
      <c r="H152" s="4"/>
      <c r="I152" s="119" t="str">
        <f t="shared" ref="I152:I183" si="6">IF(H152&gt;=37.8,"Yes","No")</f>
        <v>No</v>
      </c>
      <c r="J152" s="137"/>
      <c r="K152" s="123"/>
      <c r="L152" s="4"/>
      <c r="M152" s="4"/>
      <c r="N152" s="211"/>
      <c r="O152" s="137"/>
      <c r="P152" s="4"/>
      <c r="Q152" s="5"/>
      <c r="R152" s="137"/>
      <c r="S152" s="5"/>
      <c r="T152" s="137"/>
      <c r="U152" s="4"/>
      <c r="V152" s="137"/>
      <c r="W152" s="4"/>
      <c r="X152" s="4"/>
      <c r="Y152" s="5"/>
      <c r="Z152" s="137"/>
      <c r="AA152" s="5"/>
      <c r="AB152" s="154"/>
      <c r="AC152" s="155"/>
      <c r="AD152" s="123"/>
      <c r="AE152" s="121"/>
      <c r="AF152" s="248"/>
    </row>
    <row r="153" spans="1:32" x14ac:dyDescent="0.3">
      <c r="A153" s="115"/>
      <c r="B153" s="137"/>
      <c r="C153" s="4"/>
      <c r="D153" s="4"/>
      <c r="E153" s="4"/>
      <c r="F153" s="126"/>
      <c r="G153" s="206"/>
      <c r="H153" s="4"/>
      <c r="I153" s="119" t="str">
        <f t="shared" si="6"/>
        <v>No</v>
      </c>
      <c r="J153" s="137"/>
      <c r="K153" s="123"/>
      <c r="L153" s="4"/>
      <c r="M153" s="4"/>
      <c r="N153" s="211"/>
      <c r="O153" s="137"/>
      <c r="P153" s="4"/>
      <c r="Q153" s="5"/>
      <c r="R153" s="137"/>
      <c r="S153" s="5"/>
      <c r="T153" s="137"/>
      <c r="U153" s="4"/>
      <c r="V153" s="137"/>
      <c r="W153" s="4"/>
      <c r="X153" s="4"/>
      <c r="Y153" s="5"/>
      <c r="Z153" s="137"/>
      <c r="AA153" s="5"/>
      <c r="AB153" s="154"/>
      <c r="AC153" s="155"/>
      <c r="AD153" s="123"/>
      <c r="AE153" s="121"/>
      <c r="AF153" s="248"/>
    </row>
    <row r="154" spans="1:32" x14ac:dyDescent="0.3">
      <c r="A154" s="115"/>
      <c r="B154" s="137"/>
      <c r="C154" s="4"/>
      <c r="D154" s="4"/>
      <c r="E154" s="4"/>
      <c r="F154" s="126"/>
      <c r="G154" s="206"/>
      <c r="H154" s="4"/>
      <c r="I154" s="119" t="str">
        <f t="shared" si="6"/>
        <v>No</v>
      </c>
      <c r="J154" s="137"/>
      <c r="K154" s="123"/>
      <c r="L154" s="4"/>
      <c r="M154" s="4"/>
      <c r="N154" s="211"/>
      <c r="O154" s="137"/>
      <c r="P154" s="4"/>
      <c r="Q154" s="5"/>
      <c r="R154" s="137"/>
      <c r="S154" s="5"/>
      <c r="T154" s="137"/>
      <c r="U154" s="4"/>
      <c r="V154" s="137"/>
      <c r="W154" s="4"/>
      <c r="X154" s="4"/>
      <c r="Y154" s="5"/>
      <c r="Z154" s="137"/>
      <c r="AA154" s="5"/>
      <c r="AB154" s="154"/>
      <c r="AC154" s="155"/>
      <c r="AD154" s="123"/>
      <c r="AE154" s="121"/>
      <c r="AF154" s="248"/>
    </row>
    <row r="155" spans="1:32" x14ac:dyDescent="0.3">
      <c r="A155" s="115"/>
      <c r="B155" s="137"/>
      <c r="C155" s="4"/>
      <c r="D155" s="4"/>
      <c r="E155" s="4"/>
      <c r="F155" s="126"/>
      <c r="G155" s="206"/>
      <c r="H155" s="4"/>
      <c r="I155" s="119" t="str">
        <f t="shared" si="6"/>
        <v>No</v>
      </c>
      <c r="J155" s="137"/>
      <c r="K155" s="123"/>
      <c r="L155" s="4"/>
      <c r="M155" s="4"/>
      <c r="N155" s="211"/>
      <c r="O155" s="137"/>
      <c r="P155" s="4"/>
      <c r="Q155" s="5"/>
      <c r="R155" s="137"/>
      <c r="S155" s="5"/>
      <c r="T155" s="137"/>
      <c r="U155" s="4"/>
      <c r="V155" s="137"/>
      <c r="W155" s="4"/>
      <c r="X155" s="4"/>
      <c r="Y155" s="5"/>
      <c r="Z155" s="137"/>
      <c r="AA155" s="5"/>
      <c r="AB155" s="154"/>
      <c r="AC155" s="155"/>
      <c r="AD155" s="123"/>
      <c r="AE155" s="121"/>
      <c r="AF155" s="248"/>
    </row>
    <row r="156" spans="1:32" x14ac:dyDescent="0.3">
      <c r="A156" s="115"/>
      <c r="B156" s="137"/>
      <c r="C156" s="4"/>
      <c r="D156" s="4"/>
      <c r="E156" s="4"/>
      <c r="F156" s="126"/>
      <c r="G156" s="206"/>
      <c r="H156" s="4"/>
      <c r="I156" s="119" t="str">
        <f t="shared" si="6"/>
        <v>No</v>
      </c>
      <c r="J156" s="137"/>
      <c r="K156" s="123"/>
      <c r="L156" s="4"/>
      <c r="M156" s="4"/>
      <c r="N156" s="211"/>
      <c r="O156" s="137"/>
      <c r="P156" s="4"/>
      <c r="Q156" s="5"/>
      <c r="R156" s="137"/>
      <c r="S156" s="5"/>
      <c r="T156" s="137"/>
      <c r="U156" s="4"/>
      <c r="V156" s="137"/>
      <c r="W156" s="4"/>
      <c r="X156" s="4"/>
      <c r="Y156" s="5"/>
      <c r="Z156" s="137"/>
      <c r="AA156" s="5"/>
      <c r="AB156" s="154"/>
      <c r="AC156" s="155"/>
      <c r="AD156" s="123"/>
      <c r="AE156" s="121"/>
      <c r="AF156" s="248"/>
    </row>
    <row r="157" spans="1:32" x14ac:dyDescent="0.3">
      <c r="A157" s="115"/>
      <c r="B157" s="137"/>
      <c r="C157" s="4"/>
      <c r="D157" s="4"/>
      <c r="E157" s="4"/>
      <c r="F157" s="126"/>
      <c r="G157" s="206"/>
      <c r="H157" s="4"/>
      <c r="I157" s="119" t="str">
        <f t="shared" si="6"/>
        <v>No</v>
      </c>
      <c r="J157" s="137"/>
      <c r="K157" s="123"/>
      <c r="L157" s="4"/>
      <c r="M157" s="4"/>
      <c r="N157" s="211"/>
      <c r="O157" s="137"/>
      <c r="P157" s="4"/>
      <c r="Q157" s="5"/>
      <c r="R157" s="137"/>
      <c r="S157" s="5"/>
      <c r="T157" s="137"/>
      <c r="U157" s="4"/>
      <c r="V157" s="137"/>
      <c r="W157" s="4"/>
      <c r="X157" s="4"/>
      <c r="Y157" s="5"/>
      <c r="Z157" s="137"/>
      <c r="AA157" s="5"/>
      <c r="AB157" s="154"/>
      <c r="AC157" s="155"/>
      <c r="AD157" s="123"/>
      <c r="AE157" s="121"/>
      <c r="AF157" s="248"/>
    </row>
    <row r="158" spans="1:32" x14ac:dyDescent="0.3">
      <c r="A158" s="115"/>
      <c r="B158" s="137"/>
      <c r="C158" s="4"/>
      <c r="D158" s="4"/>
      <c r="E158" s="4"/>
      <c r="F158" s="126"/>
      <c r="G158" s="206"/>
      <c r="H158" s="4"/>
      <c r="I158" s="119" t="str">
        <f t="shared" si="6"/>
        <v>No</v>
      </c>
      <c r="J158" s="137"/>
      <c r="K158" s="123"/>
      <c r="L158" s="4"/>
      <c r="M158" s="4"/>
      <c r="N158" s="211"/>
      <c r="O158" s="137"/>
      <c r="P158" s="4"/>
      <c r="Q158" s="5"/>
      <c r="R158" s="137"/>
      <c r="S158" s="5"/>
      <c r="T158" s="137"/>
      <c r="U158" s="4"/>
      <c r="V158" s="137"/>
      <c r="W158" s="4"/>
      <c r="X158" s="4"/>
      <c r="Y158" s="5"/>
      <c r="Z158" s="137"/>
      <c r="AA158" s="5"/>
      <c r="AB158" s="154"/>
      <c r="AC158" s="155"/>
      <c r="AD158" s="123"/>
      <c r="AE158" s="121"/>
      <c r="AF158" s="248"/>
    </row>
    <row r="159" spans="1:32" x14ac:dyDescent="0.3">
      <c r="A159" s="115"/>
      <c r="B159" s="137"/>
      <c r="C159" s="4"/>
      <c r="D159" s="4"/>
      <c r="E159" s="4"/>
      <c r="F159" s="126"/>
      <c r="G159" s="206"/>
      <c r="H159" s="4"/>
      <c r="I159" s="119" t="str">
        <f t="shared" si="6"/>
        <v>No</v>
      </c>
      <c r="J159" s="137"/>
      <c r="K159" s="123"/>
      <c r="L159" s="4"/>
      <c r="M159" s="4"/>
      <c r="N159" s="211"/>
      <c r="O159" s="137"/>
      <c r="P159" s="4"/>
      <c r="Q159" s="5"/>
      <c r="R159" s="137"/>
      <c r="S159" s="5"/>
      <c r="T159" s="137"/>
      <c r="U159" s="4"/>
      <c r="V159" s="137"/>
      <c r="W159" s="4"/>
      <c r="X159" s="4"/>
      <c r="Y159" s="5"/>
      <c r="Z159" s="137"/>
      <c r="AA159" s="5"/>
      <c r="AB159" s="154"/>
      <c r="AC159" s="155"/>
      <c r="AD159" s="123"/>
      <c r="AE159" s="121"/>
      <c r="AF159" s="248"/>
    </row>
    <row r="160" spans="1:32" x14ac:dyDescent="0.3">
      <c r="A160" s="115"/>
      <c r="B160" s="137"/>
      <c r="C160" s="4"/>
      <c r="D160" s="4"/>
      <c r="E160" s="4"/>
      <c r="F160" s="126"/>
      <c r="G160" s="206"/>
      <c r="H160" s="4"/>
      <c r="I160" s="119" t="str">
        <f t="shared" si="6"/>
        <v>No</v>
      </c>
      <c r="J160" s="137"/>
      <c r="K160" s="123"/>
      <c r="L160" s="4"/>
      <c r="M160" s="4"/>
      <c r="N160" s="211"/>
      <c r="O160" s="137"/>
      <c r="P160" s="4"/>
      <c r="Q160" s="5"/>
      <c r="R160" s="137"/>
      <c r="S160" s="5"/>
      <c r="T160" s="137"/>
      <c r="U160" s="4"/>
      <c r="V160" s="137"/>
      <c r="W160" s="4"/>
      <c r="X160" s="4"/>
      <c r="Y160" s="5"/>
      <c r="Z160" s="137"/>
      <c r="AA160" s="5"/>
      <c r="AB160" s="154"/>
      <c r="AC160" s="155"/>
      <c r="AD160" s="123"/>
      <c r="AE160" s="121"/>
      <c r="AF160" s="248"/>
    </row>
    <row r="161" spans="1:32" x14ac:dyDescent="0.3">
      <c r="A161" s="115"/>
      <c r="B161" s="137"/>
      <c r="C161" s="4"/>
      <c r="D161" s="4"/>
      <c r="E161" s="4"/>
      <c r="F161" s="126"/>
      <c r="G161" s="206"/>
      <c r="H161" s="4"/>
      <c r="I161" s="119" t="str">
        <f t="shared" si="6"/>
        <v>No</v>
      </c>
      <c r="J161" s="137"/>
      <c r="K161" s="123"/>
      <c r="L161" s="4"/>
      <c r="M161" s="4"/>
      <c r="N161" s="211"/>
      <c r="O161" s="137"/>
      <c r="P161" s="4"/>
      <c r="Q161" s="5"/>
      <c r="R161" s="137"/>
      <c r="S161" s="5"/>
      <c r="T161" s="137"/>
      <c r="U161" s="4"/>
      <c r="V161" s="137"/>
      <c r="W161" s="4"/>
      <c r="X161" s="4"/>
      <c r="Y161" s="5"/>
      <c r="Z161" s="137"/>
      <c r="AA161" s="5"/>
      <c r="AB161" s="154"/>
      <c r="AC161" s="155"/>
      <c r="AD161" s="123"/>
      <c r="AE161" s="121"/>
      <c r="AF161" s="248"/>
    </row>
    <row r="162" spans="1:32" x14ac:dyDescent="0.3">
      <c r="A162" s="115"/>
      <c r="B162" s="137"/>
      <c r="C162" s="4"/>
      <c r="D162" s="4"/>
      <c r="E162" s="4"/>
      <c r="F162" s="126"/>
      <c r="G162" s="206"/>
      <c r="H162" s="4"/>
      <c r="I162" s="119" t="str">
        <f t="shared" si="6"/>
        <v>No</v>
      </c>
      <c r="J162" s="137"/>
      <c r="K162" s="123"/>
      <c r="L162" s="4"/>
      <c r="M162" s="4"/>
      <c r="N162" s="211"/>
      <c r="O162" s="137"/>
      <c r="P162" s="4"/>
      <c r="Q162" s="5"/>
      <c r="R162" s="137"/>
      <c r="S162" s="5"/>
      <c r="T162" s="137"/>
      <c r="U162" s="4"/>
      <c r="V162" s="137"/>
      <c r="W162" s="4"/>
      <c r="X162" s="4"/>
      <c r="Y162" s="5"/>
      <c r="Z162" s="137"/>
      <c r="AA162" s="5"/>
      <c r="AB162" s="154"/>
      <c r="AC162" s="155"/>
      <c r="AD162" s="123"/>
      <c r="AE162" s="121"/>
      <c r="AF162" s="248"/>
    </row>
    <row r="163" spans="1:32" x14ac:dyDescent="0.3">
      <c r="A163" s="115"/>
      <c r="B163" s="137"/>
      <c r="C163" s="4"/>
      <c r="D163" s="4"/>
      <c r="E163" s="4"/>
      <c r="F163" s="126"/>
      <c r="G163" s="206"/>
      <c r="H163" s="4"/>
      <c r="I163" s="119" t="str">
        <f t="shared" si="6"/>
        <v>No</v>
      </c>
      <c r="J163" s="137"/>
      <c r="K163" s="123"/>
      <c r="L163" s="4"/>
      <c r="M163" s="4"/>
      <c r="N163" s="211"/>
      <c r="O163" s="137"/>
      <c r="P163" s="4"/>
      <c r="Q163" s="5"/>
      <c r="R163" s="137"/>
      <c r="S163" s="5"/>
      <c r="T163" s="137"/>
      <c r="U163" s="4"/>
      <c r="V163" s="137"/>
      <c r="W163" s="4"/>
      <c r="X163" s="4"/>
      <c r="Y163" s="5"/>
      <c r="Z163" s="137"/>
      <c r="AA163" s="5"/>
      <c r="AB163" s="154"/>
      <c r="AC163" s="155"/>
      <c r="AD163" s="123"/>
      <c r="AE163" s="121"/>
      <c r="AF163" s="248"/>
    </row>
    <row r="164" spans="1:32" x14ac:dyDescent="0.3">
      <c r="A164" s="115"/>
      <c r="B164" s="137"/>
      <c r="C164" s="4"/>
      <c r="D164" s="4"/>
      <c r="E164" s="4"/>
      <c r="F164" s="126"/>
      <c r="G164" s="206"/>
      <c r="H164" s="4"/>
      <c r="I164" s="119" t="str">
        <f t="shared" si="6"/>
        <v>No</v>
      </c>
      <c r="J164" s="137"/>
      <c r="K164" s="123"/>
      <c r="L164" s="4"/>
      <c r="M164" s="4"/>
      <c r="N164" s="211"/>
      <c r="O164" s="137"/>
      <c r="P164" s="4"/>
      <c r="Q164" s="5"/>
      <c r="R164" s="137"/>
      <c r="S164" s="5"/>
      <c r="T164" s="137"/>
      <c r="U164" s="4"/>
      <c r="V164" s="137"/>
      <c r="W164" s="4"/>
      <c r="X164" s="4"/>
      <c r="Y164" s="5"/>
      <c r="Z164" s="137"/>
      <c r="AA164" s="5"/>
      <c r="AB164" s="154"/>
      <c r="AC164" s="155"/>
      <c r="AD164" s="123"/>
      <c r="AE164" s="121"/>
      <c r="AF164" s="248"/>
    </row>
    <row r="165" spans="1:32" x14ac:dyDescent="0.3">
      <c r="A165" s="115"/>
      <c r="B165" s="137"/>
      <c r="C165" s="4"/>
      <c r="D165" s="4"/>
      <c r="E165" s="4"/>
      <c r="F165" s="126"/>
      <c r="G165" s="206"/>
      <c r="H165" s="4"/>
      <c r="I165" s="119" t="str">
        <f t="shared" si="6"/>
        <v>No</v>
      </c>
      <c r="J165" s="137"/>
      <c r="K165" s="123"/>
      <c r="L165" s="4"/>
      <c r="M165" s="4"/>
      <c r="N165" s="211"/>
      <c r="O165" s="137"/>
      <c r="P165" s="4"/>
      <c r="Q165" s="5"/>
      <c r="R165" s="137"/>
      <c r="S165" s="5"/>
      <c r="T165" s="137"/>
      <c r="U165" s="4"/>
      <c r="V165" s="137"/>
      <c r="W165" s="4"/>
      <c r="X165" s="4"/>
      <c r="Y165" s="5"/>
      <c r="Z165" s="137"/>
      <c r="AA165" s="5"/>
      <c r="AB165" s="154"/>
      <c r="AC165" s="155"/>
      <c r="AD165" s="123"/>
      <c r="AE165" s="121"/>
      <c r="AF165" s="248"/>
    </row>
    <row r="166" spans="1:32" x14ac:dyDescent="0.3">
      <c r="A166" s="115"/>
      <c r="B166" s="137"/>
      <c r="C166" s="4"/>
      <c r="D166" s="4"/>
      <c r="E166" s="4"/>
      <c r="F166" s="126"/>
      <c r="G166" s="206"/>
      <c r="H166" s="4"/>
      <c r="I166" s="119" t="str">
        <f t="shared" si="6"/>
        <v>No</v>
      </c>
      <c r="J166" s="137"/>
      <c r="K166" s="123"/>
      <c r="L166" s="4"/>
      <c r="M166" s="4"/>
      <c r="N166" s="211"/>
      <c r="O166" s="137"/>
      <c r="P166" s="4"/>
      <c r="Q166" s="5"/>
      <c r="R166" s="137"/>
      <c r="S166" s="5"/>
      <c r="T166" s="137"/>
      <c r="U166" s="4"/>
      <c r="V166" s="137"/>
      <c r="W166" s="4"/>
      <c r="X166" s="4"/>
      <c r="Y166" s="5"/>
      <c r="Z166" s="137"/>
      <c r="AA166" s="5"/>
      <c r="AB166" s="154"/>
      <c r="AC166" s="155"/>
      <c r="AD166" s="123"/>
      <c r="AE166" s="121"/>
      <c r="AF166" s="248"/>
    </row>
    <row r="167" spans="1:32" x14ac:dyDescent="0.3">
      <c r="A167" s="115"/>
      <c r="B167" s="137"/>
      <c r="C167" s="4"/>
      <c r="D167" s="4"/>
      <c r="E167" s="4"/>
      <c r="F167" s="126"/>
      <c r="G167" s="206"/>
      <c r="H167" s="4"/>
      <c r="I167" s="119" t="str">
        <f t="shared" si="6"/>
        <v>No</v>
      </c>
      <c r="J167" s="137"/>
      <c r="K167" s="123"/>
      <c r="L167" s="4"/>
      <c r="M167" s="4"/>
      <c r="N167" s="211"/>
      <c r="O167" s="137"/>
      <c r="P167" s="4"/>
      <c r="Q167" s="5"/>
      <c r="R167" s="137"/>
      <c r="S167" s="5"/>
      <c r="T167" s="137"/>
      <c r="U167" s="4"/>
      <c r="V167" s="137"/>
      <c r="W167" s="4"/>
      <c r="X167" s="4"/>
      <c r="Y167" s="5"/>
      <c r="Z167" s="137"/>
      <c r="AA167" s="5"/>
      <c r="AB167" s="154"/>
      <c r="AC167" s="155"/>
      <c r="AD167" s="123"/>
      <c r="AE167" s="121"/>
      <c r="AF167" s="248"/>
    </row>
    <row r="168" spans="1:32" x14ac:dyDescent="0.3">
      <c r="A168" s="115"/>
      <c r="B168" s="137"/>
      <c r="C168" s="4"/>
      <c r="D168" s="4"/>
      <c r="E168" s="4"/>
      <c r="F168" s="126"/>
      <c r="G168" s="206"/>
      <c r="H168" s="4"/>
      <c r="I168" s="119" t="str">
        <f t="shared" si="6"/>
        <v>No</v>
      </c>
      <c r="J168" s="137"/>
      <c r="K168" s="123"/>
      <c r="L168" s="4"/>
      <c r="M168" s="4"/>
      <c r="N168" s="211"/>
      <c r="O168" s="137"/>
      <c r="P168" s="4"/>
      <c r="Q168" s="5"/>
      <c r="R168" s="137"/>
      <c r="S168" s="5"/>
      <c r="T168" s="137"/>
      <c r="U168" s="4"/>
      <c r="V168" s="137"/>
      <c r="W168" s="4"/>
      <c r="X168" s="4"/>
      <c r="Y168" s="5"/>
      <c r="Z168" s="137"/>
      <c r="AA168" s="5"/>
      <c r="AB168" s="154"/>
      <c r="AC168" s="155"/>
      <c r="AD168" s="123"/>
      <c r="AE168" s="121"/>
      <c r="AF168" s="248"/>
    </row>
    <row r="169" spans="1:32" x14ac:dyDescent="0.3">
      <c r="A169" s="115"/>
      <c r="B169" s="137"/>
      <c r="C169" s="4"/>
      <c r="D169" s="4"/>
      <c r="E169" s="4"/>
      <c r="F169" s="126"/>
      <c r="G169" s="206"/>
      <c r="H169" s="4"/>
      <c r="I169" s="119" t="str">
        <f t="shared" si="6"/>
        <v>No</v>
      </c>
      <c r="J169" s="137"/>
      <c r="K169" s="123"/>
      <c r="L169" s="4"/>
      <c r="M169" s="4"/>
      <c r="N169" s="211"/>
      <c r="O169" s="137"/>
      <c r="P169" s="4"/>
      <c r="Q169" s="5"/>
      <c r="R169" s="137"/>
      <c r="S169" s="5"/>
      <c r="T169" s="137"/>
      <c r="U169" s="4"/>
      <c r="V169" s="137"/>
      <c r="W169" s="4"/>
      <c r="X169" s="4"/>
      <c r="Y169" s="5"/>
      <c r="Z169" s="137"/>
      <c r="AA169" s="5"/>
      <c r="AB169" s="154"/>
      <c r="AC169" s="155"/>
      <c r="AD169" s="123"/>
      <c r="AE169" s="121"/>
      <c r="AF169" s="248"/>
    </row>
    <row r="170" spans="1:32" x14ac:dyDescent="0.3">
      <c r="A170" s="115"/>
      <c r="B170" s="137"/>
      <c r="C170" s="4"/>
      <c r="D170" s="4"/>
      <c r="E170" s="4"/>
      <c r="F170" s="126"/>
      <c r="G170" s="206"/>
      <c r="H170" s="4"/>
      <c r="I170" s="119" t="str">
        <f t="shared" si="6"/>
        <v>No</v>
      </c>
      <c r="J170" s="137"/>
      <c r="K170" s="123"/>
      <c r="L170" s="4"/>
      <c r="M170" s="4"/>
      <c r="N170" s="211"/>
      <c r="O170" s="137"/>
      <c r="P170" s="4"/>
      <c r="Q170" s="5"/>
      <c r="R170" s="137"/>
      <c r="S170" s="5"/>
      <c r="T170" s="137"/>
      <c r="U170" s="4"/>
      <c r="V170" s="137"/>
      <c r="W170" s="4"/>
      <c r="X170" s="4"/>
      <c r="Y170" s="5"/>
      <c r="Z170" s="137"/>
      <c r="AA170" s="5"/>
      <c r="AB170" s="154"/>
      <c r="AC170" s="155"/>
      <c r="AD170" s="123"/>
      <c r="AE170" s="121"/>
      <c r="AF170" s="248"/>
    </row>
    <row r="171" spans="1:32" x14ac:dyDescent="0.3">
      <c r="A171" s="115"/>
      <c r="B171" s="137"/>
      <c r="C171" s="4"/>
      <c r="D171" s="4"/>
      <c r="E171" s="4"/>
      <c r="F171" s="126"/>
      <c r="G171" s="206"/>
      <c r="H171" s="4"/>
      <c r="I171" s="119" t="str">
        <f t="shared" si="6"/>
        <v>No</v>
      </c>
      <c r="J171" s="137"/>
      <c r="K171" s="123"/>
      <c r="L171" s="4"/>
      <c r="M171" s="4"/>
      <c r="N171" s="211"/>
      <c r="O171" s="137"/>
      <c r="P171" s="4"/>
      <c r="Q171" s="5"/>
      <c r="R171" s="137"/>
      <c r="S171" s="5"/>
      <c r="T171" s="137"/>
      <c r="U171" s="4"/>
      <c r="V171" s="137"/>
      <c r="W171" s="4"/>
      <c r="X171" s="4"/>
      <c r="Y171" s="5"/>
      <c r="Z171" s="137"/>
      <c r="AA171" s="5"/>
      <c r="AB171" s="154"/>
      <c r="AC171" s="155"/>
      <c r="AD171" s="123"/>
      <c r="AE171" s="121"/>
      <c r="AF171" s="248"/>
    </row>
    <row r="172" spans="1:32" x14ac:dyDescent="0.3">
      <c r="A172" s="115"/>
      <c r="B172" s="137"/>
      <c r="C172" s="4"/>
      <c r="D172" s="4"/>
      <c r="E172" s="4"/>
      <c r="F172" s="126"/>
      <c r="G172" s="206"/>
      <c r="H172" s="4"/>
      <c r="I172" s="119" t="str">
        <f t="shared" si="6"/>
        <v>No</v>
      </c>
      <c r="J172" s="137"/>
      <c r="K172" s="123"/>
      <c r="L172" s="4"/>
      <c r="M172" s="4"/>
      <c r="N172" s="211"/>
      <c r="O172" s="137"/>
      <c r="P172" s="4"/>
      <c r="Q172" s="5"/>
      <c r="R172" s="137"/>
      <c r="S172" s="5"/>
      <c r="T172" s="137"/>
      <c r="U172" s="4"/>
      <c r="V172" s="137"/>
      <c r="W172" s="4"/>
      <c r="X172" s="4"/>
      <c r="Y172" s="5"/>
      <c r="Z172" s="137"/>
      <c r="AA172" s="5"/>
      <c r="AB172" s="154"/>
      <c r="AC172" s="155"/>
      <c r="AD172" s="123"/>
      <c r="AE172" s="121"/>
      <c r="AF172" s="248"/>
    </row>
    <row r="173" spans="1:32" x14ac:dyDescent="0.3">
      <c r="A173" s="115"/>
      <c r="B173" s="137"/>
      <c r="C173" s="4"/>
      <c r="D173" s="4"/>
      <c r="E173" s="4"/>
      <c r="F173" s="126"/>
      <c r="G173" s="206"/>
      <c r="H173" s="4"/>
      <c r="I173" s="119" t="str">
        <f t="shared" si="6"/>
        <v>No</v>
      </c>
      <c r="J173" s="137"/>
      <c r="K173" s="123"/>
      <c r="L173" s="4"/>
      <c r="M173" s="4"/>
      <c r="N173" s="211"/>
      <c r="O173" s="137"/>
      <c r="P173" s="4"/>
      <c r="Q173" s="5"/>
      <c r="R173" s="137"/>
      <c r="S173" s="5"/>
      <c r="T173" s="137"/>
      <c r="U173" s="4"/>
      <c r="V173" s="137"/>
      <c r="W173" s="4"/>
      <c r="X173" s="4"/>
      <c r="Y173" s="5"/>
      <c r="Z173" s="137"/>
      <c r="AA173" s="5"/>
      <c r="AB173" s="154"/>
      <c r="AC173" s="155"/>
      <c r="AD173" s="123"/>
      <c r="AE173" s="121"/>
      <c r="AF173" s="248"/>
    </row>
    <row r="174" spans="1:32" x14ac:dyDescent="0.3">
      <c r="A174" s="115"/>
      <c r="B174" s="137"/>
      <c r="C174" s="4"/>
      <c r="D174" s="4"/>
      <c r="E174" s="4"/>
      <c r="F174" s="126"/>
      <c r="G174" s="206"/>
      <c r="H174" s="4"/>
      <c r="I174" s="119" t="str">
        <f t="shared" si="6"/>
        <v>No</v>
      </c>
      <c r="J174" s="137"/>
      <c r="K174" s="123"/>
      <c r="L174" s="4"/>
      <c r="M174" s="4"/>
      <c r="N174" s="211"/>
      <c r="O174" s="137"/>
      <c r="P174" s="4"/>
      <c r="Q174" s="5"/>
      <c r="R174" s="137"/>
      <c r="S174" s="5"/>
      <c r="T174" s="137"/>
      <c r="U174" s="4"/>
      <c r="V174" s="137"/>
      <c r="W174" s="4"/>
      <c r="X174" s="4"/>
      <c r="Y174" s="5"/>
      <c r="Z174" s="137"/>
      <c r="AA174" s="5"/>
      <c r="AB174" s="154"/>
      <c r="AC174" s="155"/>
      <c r="AD174" s="123"/>
      <c r="AE174" s="121"/>
      <c r="AF174" s="248"/>
    </row>
    <row r="175" spans="1:32" x14ac:dyDescent="0.3">
      <c r="A175" s="115"/>
      <c r="B175" s="137"/>
      <c r="C175" s="4"/>
      <c r="D175" s="4"/>
      <c r="E175" s="4"/>
      <c r="F175" s="126"/>
      <c r="G175" s="206"/>
      <c r="H175" s="4"/>
      <c r="I175" s="119" t="str">
        <f t="shared" si="6"/>
        <v>No</v>
      </c>
      <c r="J175" s="137"/>
      <c r="K175" s="123"/>
      <c r="L175" s="4"/>
      <c r="M175" s="4"/>
      <c r="N175" s="211"/>
      <c r="O175" s="137"/>
      <c r="P175" s="4"/>
      <c r="Q175" s="5"/>
      <c r="R175" s="137"/>
      <c r="S175" s="5"/>
      <c r="T175" s="137"/>
      <c r="U175" s="4"/>
      <c r="V175" s="137"/>
      <c r="W175" s="4"/>
      <c r="X175" s="4"/>
      <c r="Y175" s="5"/>
      <c r="Z175" s="137"/>
      <c r="AA175" s="5"/>
      <c r="AB175" s="154"/>
      <c r="AC175" s="155"/>
      <c r="AD175" s="123"/>
      <c r="AE175" s="121"/>
      <c r="AF175" s="248"/>
    </row>
    <row r="176" spans="1:32" x14ac:dyDescent="0.3">
      <c r="A176" s="115"/>
      <c r="B176" s="137"/>
      <c r="C176" s="4"/>
      <c r="D176" s="4"/>
      <c r="E176" s="4"/>
      <c r="F176" s="126"/>
      <c r="G176" s="206"/>
      <c r="H176" s="4"/>
      <c r="I176" s="119" t="str">
        <f t="shared" si="6"/>
        <v>No</v>
      </c>
      <c r="J176" s="137"/>
      <c r="K176" s="123"/>
      <c r="L176" s="4"/>
      <c r="M176" s="4"/>
      <c r="N176" s="211"/>
      <c r="O176" s="137"/>
      <c r="P176" s="4"/>
      <c r="Q176" s="5"/>
      <c r="R176" s="137"/>
      <c r="S176" s="5"/>
      <c r="T176" s="137"/>
      <c r="U176" s="4"/>
      <c r="V176" s="137"/>
      <c r="W176" s="4"/>
      <c r="X176" s="4"/>
      <c r="Y176" s="5"/>
      <c r="Z176" s="137"/>
      <c r="AA176" s="5"/>
      <c r="AB176" s="154"/>
      <c r="AC176" s="155"/>
      <c r="AD176" s="123"/>
      <c r="AE176" s="121"/>
      <c r="AF176" s="248"/>
    </row>
    <row r="177" spans="1:32" x14ac:dyDescent="0.3">
      <c r="A177" s="115"/>
      <c r="B177" s="137"/>
      <c r="C177" s="4"/>
      <c r="D177" s="4"/>
      <c r="E177" s="4"/>
      <c r="F177" s="126"/>
      <c r="G177" s="206"/>
      <c r="H177" s="4"/>
      <c r="I177" s="119" t="str">
        <f t="shared" si="6"/>
        <v>No</v>
      </c>
      <c r="J177" s="137"/>
      <c r="K177" s="123"/>
      <c r="L177" s="4"/>
      <c r="M177" s="4"/>
      <c r="N177" s="211"/>
      <c r="O177" s="137"/>
      <c r="P177" s="4"/>
      <c r="Q177" s="5"/>
      <c r="R177" s="137"/>
      <c r="S177" s="5"/>
      <c r="T177" s="137"/>
      <c r="U177" s="4"/>
      <c r="V177" s="137"/>
      <c r="W177" s="4"/>
      <c r="X177" s="4"/>
      <c r="Y177" s="5"/>
      <c r="Z177" s="137"/>
      <c r="AA177" s="5"/>
      <c r="AB177" s="154"/>
      <c r="AC177" s="155"/>
      <c r="AD177" s="123"/>
      <c r="AE177" s="121"/>
      <c r="AF177" s="248"/>
    </row>
    <row r="178" spans="1:32" x14ac:dyDescent="0.3">
      <c r="A178" s="115"/>
      <c r="B178" s="137"/>
      <c r="C178" s="4"/>
      <c r="D178" s="4"/>
      <c r="E178" s="4"/>
      <c r="F178" s="126"/>
      <c r="G178" s="206"/>
      <c r="H178" s="4"/>
      <c r="I178" s="119" t="str">
        <f t="shared" si="6"/>
        <v>No</v>
      </c>
      <c r="J178" s="137"/>
      <c r="K178" s="123"/>
      <c r="L178" s="4"/>
      <c r="M178" s="4"/>
      <c r="N178" s="211"/>
      <c r="O178" s="137"/>
      <c r="P178" s="4"/>
      <c r="Q178" s="5"/>
      <c r="R178" s="137"/>
      <c r="S178" s="5"/>
      <c r="T178" s="137"/>
      <c r="U178" s="4"/>
      <c r="V178" s="137"/>
      <c r="W178" s="4"/>
      <c r="X178" s="4"/>
      <c r="Y178" s="5"/>
      <c r="Z178" s="137"/>
      <c r="AA178" s="5"/>
      <c r="AB178" s="154"/>
      <c r="AC178" s="155"/>
      <c r="AD178" s="123"/>
      <c r="AE178" s="121"/>
      <c r="AF178" s="248"/>
    </row>
    <row r="179" spans="1:32" x14ac:dyDescent="0.3">
      <c r="A179" s="115"/>
      <c r="B179" s="137"/>
      <c r="C179" s="4"/>
      <c r="D179" s="4"/>
      <c r="E179" s="4"/>
      <c r="F179" s="126"/>
      <c r="G179" s="206"/>
      <c r="H179" s="4"/>
      <c r="I179" s="119" t="str">
        <f t="shared" si="6"/>
        <v>No</v>
      </c>
      <c r="J179" s="137"/>
      <c r="K179" s="123"/>
      <c r="L179" s="4"/>
      <c r="M179" s="4"/>
      <c r="N179" s="211"/>
      <c r="O179" s="137"/>
      <c r="P179" s="4"/>
      <c r="Q179" s="5"/>
      <c r="R179" s="137"/>
      <c r="S179" s="5"/>
      <c r="T179" s="137"/>
      <c r="U179" s="4"/>
      <c r="V179" s="137"/>
      <c r="W179" s="4"/>
      <c r="X179" s="4"/>
      <c r="Y179" s="5"/>
      <c r="Z179" s="137"/>
      <c r="AA179" s="5"/>
      <c r="AB179" s="154"/>
      <c r="AC179" s="155"/>
      <c r="AD179" s="123"/>
      <c r="AE179" s="121"/>
      <c r="AF179" s="248"/>
    </row>
    <row r="180" spans="1:32" x14ac:dyDescent="0.3">
      <c r="A180" s="115"/>
      <c r="B180" s="138"/>
      <c r="C180" s="9"/>
      <c r="D180" s="9"/>
      <c r="E180" s="9"/>
      <c r="F180" s="128"/>
      <c r="G180" s="206"/>
      <c r="H180" s="4"/>
      <c r="I180" s="119" t="str">
        <f t="shared" si="6"/>
        <v>No</v>
      </c>
      <c r="J180" s="138"/>
      <c r="K180" s="237"/>
      <c r="L180" s="4"/>
      <c r="M180" s="4"/>
      <c r="N180" s="117"/>
      <c r="O180" s="138"/>
      <c r="P180" s="9"/>
      <c r="Q180" s="147"/>
      <c r="R180" s="138"/>
      <c r="S180" s="147"/>
      <c r="T180" s="138"/>
      <c r="U180" s="4"/>
      <c r="V180" s="137"/>
      <c r="W180" s="4"/>
      <c r="X180" s="4"/>
      <c r="Y180" s="5"/>
      <c r="Z180" s="137"/>
      <c r="AA180" s="5"/>
      <c r="AB180" s="154"/>
      <c r="AC180" s="155"/>
      <c r="AD180" s="123"/>
      <c r="AE180" s="120"/>
      <c r="AF180" s="248"/>
    </row>
    <row r="181" spans="1:32" x14ac:dyDescent="0.3">
      <c r="A181" s="115"/>
      <c r="B181" s="137"/>
      <c r="C181" s="4"/>
      <c r="D181" s="4"/>
      <c r="E181" s="4"/>
      <c r="F181" s="126"/>
      <c r="G181" s="206"/>
      <c r="H181" s="4"/>
      <c r="I181" s="119" t="str">
        <f t="shared" si="6"/>
        <v>No</v>
      </c>
      <c r="J181" s="137"/>
      <c r="K181" s="123"/>
      <c r="L181" s="4"/>
      <c r="M181" s="4"/>
      <c r="N181" s="211"/>
      <c r="O181" s="137"/>
      <c r="P181" s="4"/>
      <c r="Q181" s="5"/>
      <c r="R181" s="137"/>
      <c r="S181" s="5"/>
      <c r="T181" s="137"/>
      <c r="U181" s="4"/>
      <c r="V181" s="137"/>
      <c r="W181" s="4"/>
      <c r="X181" s="4"/>
      <c r="Y181" s="5"/>
      <c r="Z181" s="137"/>
      <c r="AA181" s="5"/>
      <c r="AB181" s="154"/>
      <c r="AC181" s="155"/>
      <c r="AD181" s="123"/>
      <c r="AE181" s="121"/>
      <c r="AF181" s="248"/>
    </row>
    <row r="182" spans="1:32" x14ac:dyDescent="0.3">
      <c r="A182" s="115"/>
      <c r="B182" s="137"/>
      <c r="C182" s="4"/>
      <c r="D182" s="4"/>
      <c r="E182" s="4"/>
      <c r="F182" s="126"/>
      <c r="G182" s="206"/>
      <c r="H182" s="4"/>
      <c r="I182" s="119" t="str">
        <f t="shared" si="6"/>
        <v>No</v>
      </c>
      <c r="J182" s="137"/>
      <c r="K182" s="123"/>
      <c r="L182" s="4"/>
      <c r="M182" s="4"/>
      <c r="N182" s="211"/>
      <c r="O182" s="137"/>
      <c r="P182" s="4"/>
      <c r="Q182" s="5"/>
      <c r="R182" s="137"/>
      <c r="S182" s="5"/>
      <c r="T182" s="137"/>
      <c r="U182" s="4"/>
      <c r="V182" s="137"/>
      <c r="W182" s="4"/>
      <c r="X182" s="4"/>
      <c r="Y182" s="5"/>
      <c r="Z182" s="137"/>
      <c r="AA182" s="5"/>
      <c r="AB182" s="154"/>
      <c r="AC182" s="155"/>
      <c r="AD182" s="123"/>
      <c r="AE182" s="121"/>
      <c r="AF182" s="248"/>
    </row>
    <row r="183" spans="1:32" x14ac:dyDescent="0.3">
      <c r="A183" s="115"/>
      <c r="B183" s="137"/>
      <c r="C183" s="4"/>
      <c r="D183" s="4"/>
      <c r="E183" s="4"/>
      <c r="F183" s="126"/>
      <c r="G183" s="206"/>
      <c r="H183" s="4"/>
      <c r="I183" s="119" t="str">
        <f t="shared" si="6"/>
        <v>No</v>
      </c>
      <c r="J183" s="137"/>
      <c r="K183" s="123"/>
      <c r="L183" s="4"/>
      <c r="M183" s="4"/>
      <c r="N183" s="211"/>
      <c r="O183" s="137"/>
      <c r="P183" s="4"/>
      <c r="Q183" s="5"/>
      <c r="R183" s="137"/>
      <c r="S183" s="5"/>
      <c r="T183" s="137"/>
      <c r="U183" s="4"/>
      <c r="V183" s="137"/>
      <c r="W183" s="4"/>
      <c r="X183" s="4"/>
      <c r="Y183" s="5"/>
      <c r="Z183" s="137"/>
      <c r="AA183" s="5"/>
      <c r="AB183" s="154"/>
      <c r="AC183" s="155"/>
      <c r="AD183" s="123"/>
      <c r="AE183" s="121"/>
      <c r="AF183" s="248"/>
    </row>
    <row r="184" spans="1:32" x14ac:dyDescent="0.3">
      <c r="A184" s="115"/>
      <c r="B184" s="137"/>
      <c r="C184" s="4"/>
      <c r="D184" s="4"/>
      <c r="E184" s="4"/>
      <c r="F184" s="126"/>
      <c r="G184" s="206"/>
      <c r="H184" s="4"/>
      <c r="I184" s="119" t="str">
        <f t="shared" ref="I184:I215" si="7">IF(H184&gt;=37.8,"Yes","No")</f>
        <v>No</v>
      </c>
      <c r="J184" s="137"/>
      <c r="K184" s="123"/>
      <c r="L184" s="4"/>
      <c r="M184" s="4"/>
      <c r="N184" s="211"/>
      <c r="O184" s="137"/>
      <c r="P184" s="4"/>
      <c r="Q184" s="5"/>
      <c r="R184" s="137"/>
      <c r="S184" s="5"/>
      <c r="T184" s="137"/>
      <c r="U184" s="4"/>
      <c r="V184" s="137"/>
      <c r="W184" s="4"/>
      <c r="X184" s="4"/>
      <c r="Y184" s="5"/>
      <c r="Z184" s="137"/>
      <c r="AA184" s="5"/>
      <c r="AB184" s="154"/>
      <c r="AC184" s="155"/>
      <c r="AD184" s="123"/>
      <c r="AE184" s="121"/>
      <c r="AF184" s="248"/>
    </row>
    <row r="185" spans="1:32" x14ac:dyDescent="0.3">
      <c r="A185" s="115"/>
      <c r="B185" s="137"/>
      <c r="C185" s="4"/>
      <c r="D185" s="4"/>
      <c r="E185" s="4"/>
      <c r="F185" s="126"/>
      <c r="G185" s="206"/>
      <c r="H185" s="4"/>
      <c r="I185" s="119" t="str">
        <f t="shared" si="7"/>
        <v>No</v>
      </c>
      <c r="J185" s="137"/>
      <c r="K185" s="123"/>
      <c r="L185" s="4"/>
      <c r="M185" s="4"/>
      <c r="N185" s="211"/>
      <c r="O185" s="137"/>
      <c r="P185" s="4"/>
      <c r="Q185" s="5"/>
      <c r="R185" s="137"/>
      <c r="S185" s="5"/>
      <c r="T185" s="137"/>
      <c r="U185" s="4"/>
      <c r="V185" s="137"/>
      <c r="W185" s="4"/>
      <c r="X185" s="4"/>
      <c r="Y185" s="5"/>
      <c r="Z185" s="137"/>
      <c r="AA185" s="5"/>
      <c r="AB185" s="154"/>
      <c r="AC185" s="155"/>
      <c r="AD185" s="123"/>
      <c r="AE185" s="121"/>
      <c r="AF185" s="248"/>
    </row>
    <row r="186" spans="1:32" x14ac:dyDescent="0.3">
      <c r="A186" s="115"/>
      <c r="B186" s="137"/>
      <c r="C186" s="4"/>
      <c r="D186" s="4"/>
      <c r="E186" s="4"/>
      <c r="F186" s="126"/>
      <c r="G186" s="206"/>
      <c r="H186" s="4"/>
      <c r="I186" s="119" t="str">
        <f t="shared" si="7"/>
        <v>No</v>
      </c>
      <c r="J186" s="137"/>
      <c r="K186" s="123"/>
      <c r="L186" s="4"/>
      <c r="M186" s="4"/>
      <c r="N186" s="211"/>
      <c r="O186" s="137"/>
      <c r="P186" s="4"/>
      <c r="Q186" s="5"/>
      <c r="R186" s="137"/>
      <c r="S186" s="5"/>
      <c r="T186" s="137"/>
      <c r="U186" s="4"/>
      <c r="V186" s="137"/>
      <c r="W186" s="4"/>
      <c r="X186" s="4"/>
      <c r="Y186" s="5"/>
      <c r="Z186" s="137"/>
      <c r="AA186" s="5"/>
      <c r="AB186" s="154"/>
      <c r="AC186" s="155"/>
      <c r="AD186" s="123"/>
      <c r="AE186" s="121"/>
      <c r="AF186" s="248"/>
    </row>
    <row r="187" spans="1:32" x14ac:dyDescent="0.3">
      <c r="A187" s="115"/>
      <c r="B187" s="137"/>
      <c r="C187" s="4"/>
      <c r="D187" s="4"/>
      <c r="E187" s="4"/>
      <c r="F187" s="126"/>
      <c r="G187" s="206"/>
      <c r="H187" s="4"/>
      <c r="I187" s="119" t="str">
        <f t="shared" si="7"/>
        <v>No</v>
      </c>
      <c r="J187" s="137"/>
      <c r="K187" s="123"/>
      <c r="L187" s="4"/>
      <c r="M187" s="4"/>
      <c r="N187" s="211"/>
      <c r="O187" s="137"/>
      <c r="P187" s="4"/>
      <c r="Q187" s="5"/>
      <c r="R187" s="137"/>
      <c r="S187" s="5"/>
      <c r="T187" s="137"/>
      <c r="U187" s="4"/>
      <c r="V187" s="137"/>
      <c r="W187" s="4"/>
      <c r="X187" s="4"/>
      <c r="Y187" s="5"/>
      <c r="Z187" s="137"/>
      <c r="AA187" s="5"/>
      <c r="AB187" s="154"/>
      <c r="AC187" s="155"/>
      <c r="AD187" s="123"/>
      <c r="AE187" s="121"/>
      <c r="AF187" s="248"/>
    </row>
    <row r="188" spans="1:32" x14ac:dyDescent="0.3">
      <c r="A188" s="115"/>
      <c r="B188" s="137"/>
      <c r="C188" s="4"/>
      <c r="D188" s="4"/>
      <c r="E188" s="4"/>
      <c r="F188" s="126"/>
      <c r="G188" s="206"/>
      <c r="H188" s="4"/>
      <c r="I188" s="119" t="str">
        <f t="shared" si="7"/>
        <v>No</v>
      </c>
      <c r="J188" s="137"/>
      <c r="K188" s="123"/>
      <c r="L188" s="4"/>
      <c r="M188" s="4"/>
      <c r="N188" s="211"/>
      <c r="O188" s="137"/>
      <c r="P188" s="4"/>
      <c r="Q188" s="5"/>
      <c r="R188" s="137"/>
      <c r="S188" s="5"/>
      <c r="T188" s="137"/>
      <c r="U188" s="4"/>
      <c r="V188" s="137"/>
      <c r="W188" s="4"/>
      <c r="X188" s="4"/>
      <c r="Y188" s="5"/>
      <c r="Z188" s="137"/>
      <c r="AA188" s="5"/>
      <c r="AB188" s="154"/>
      <c r="AC188" s="155"/>
      <c r="AD188" s="123"/>
      <c r="AE188" s="121"/>
      <c r="AF188" s="248"/>
    </row>
    <row r="189" spans="1:32" x14ac:dyDescent="0.3">
      <c r="A189" s="115"/>
      <c r="B189" s="137"/>
      <c r="C189" s="4"/>
      <c r="D189" s="4"/>
      <c r="E189" s="4"/>
      <c r="F189" s="126"/>
      <c r="G189" s="206"/>
      <c r="H189" s="4"/>
      <c r="I189" s="119" t="str">
        <f t="shared" si="7"/>
        <v>No</v>
      </c>
      <c r="J189" s="137"/>
      <c r="K189" s="123"/>
      <c r="L189" s="4"/>
      <c r="M189" s="4"/>
      <c r="N189" s="211"/>
      <c r="O189" s="137"/>
      <c r="P189" s="4"/>
      <c r="Q189" s="5"/>
      <c r="R189" s="137"/>
      <c r="S189" s="5"/>
      <c r="T189" s="137"/>
      <c r="U189" s="4"/>
      <c r="V189" s="137"/>
      <c r="W189" s="4"/>
      <c r="X189" s="4"/>
      <c r="Y189" s="5"/>
      <c r="Z189" s="137"/>
      <c r="AA189" s="5"/>
      <c r="AB189" s="154"/>
      <c r="AC189" s="155"/>
      <c r="AD189" s="123"/>
      <c r="AE189" s="121"/>
      <c r="AF189" s="248"/>
    </row>
    <row r="190" spans="1:32" x14ac:dyDescent="0.3">
      <c r="A190" s="115"/>
      <c r="B190" s="137"/>
      <c r="C190" s="4"/>
      <c r="D190" s="4"/>
      <c r="E190" s="4"/>
      <c r="F190" s="126"/>
      <c r="G190" s="206"/>
      <c r="H190" s="4"/>
      <c r="I190" s="119" t="str">
        <f t="shared" si="7"/>
        <v>No</v>
      </c>
      <c r="J190" s="137"/>
      <c r="K190" s="123"/>
      <c r="L190" s="4"/>
      <c r="M190" s="4"/>
      <c r="N190" s="211"/>
      <c r="O190" s="137"/>
      <c r="P190" s="4"/>
      <c r="Q190" s="5"/>
      <c r="R190" s="137"/>
      <c r="S190" s="5"/>
      <c r="T190" s="137"/>
      <c r="U190" s="4"/>
      <c r="V190" s="137"/>
      <c r="W190" s="4"/>
      <c r="X190" s="4"/>
      <c r="Y190" s="5"/>
      <c r="Z190" s="137"/>
      <c r="AA190" s="5"/>
      <c r="AB190" s="154"/>
      <c r="AC190" s="155"/>
      <c r="AD190" s="123"/>
      <c r="AE190" s="121"/>
      <c r="AF190" s="248"/>
    </row>
    <row r="191" spans="1:32" x14ac:dyDescent="0.3">
      <c r="A191" s="115"/>
      <c r="B191" s="137"/>
      <c r="C191" s="4"/>
      <c r="D191" s="4"/>
      <c r="E191" s="4"/>
      <c r="F191" s="126"/>
      <c r="G191" s="206"/>
      <c r="H191" s="4"/>
      <c r="I191" s="119" t="str">
        <f t="shared" si="7"/>
        <v>No</v>
      </c>
      <c r="J191" s="137"/>
      <c r="K191" s="123"/>
      <c r="L191" s="4"/>
      <c r="M191" s="4"/>
      <c r="N191" s="211"/>
      <c r="O191" s="137"/>
      <c r="P191" s="4"/>
      <c r="Q191" s="5"/>
      <c r="R191" s="137"/>
      <c r="S191" s="5"/>
      <c r="T191" s="137"/>
      <c r="U191" s="4"/>
      <c r="V191" s="137"/>
      <c r="W191" s="4"/>
      <c r="X191" s="4"/>
      <c r="Y191" s="5"/>
      <c r="Z191" s="137"/>
      <c r="AA191" s="5"/>
      <c r="AB191" s="154"/>
      <c r="AC191" s="155"/>
      <c r="AD191" s="123"/>
      <c r="AE191" s="121"/>
      <c r="AF191" s="248"/>
    </row>
    <row r="192" spans="1:32" x14ac:dyDescent="0.3">
      <c r="A192" s="115"/>
      <c r="B192" s="137"/>
      <c r="C192" s="4"/>
      <c r="D192" s="4"/>
      <c r="E192" s="4"/>
      <c r="F192" s="126"/>
      <c r="G192" s="206"/>
      <c r="H192" s="4"/>
      <c r="I192" s="119" t="str">
        <f t="shared" si="7"/>
        <v>No</v>
      </c>
      <c r="J192" s="137"/>
      <c r="K192" s="123"/>
      <c r="L192" s="4"/>
      <c r="M192" s="4"/>
      <c r="N192" s="211"/>
      <c r="O192" s="137"/>
      <c r="P192" s="4"/>
      <c r="Q192" s="5"/>
      <c r="R192" s="137"/>
      <c r="S192" s="5"/>
      <c r="T192" s="137"/>
      <c r="U192" s="4"/>
      <c r="V192" s="137"/>
      <c r="W192" s="4"/>
      <c r="X192" s="4"/>
      <c r="Y192" s="5"/>
      <c r="Z192" s="137"/>
      <c r="AA192" s="5"/>
      <c r="AB192" s="154"/>
      <c r="AC192" s="155"/>
      <c r="AD192" s="123"/>
      <c r="AE192" s="121"/>
      <c r="AF192" s="248"/>
    </row>
    <row r="193" spans="1:32" x14ac:dyDescent="0.3">
      <c r="A193" s="115"/>
      <c r="B193" s="137"/>
      <c r="C193" s="4"/>
      <c r="D193" s="4"/>
      <c r="E193" s="4"/>
      <c r="F193" s="126"/>
      <c r="G193" s="206"/>
      <c r="H193" s="4"/>
      <c r="I193" s="119" t="str">
        <f t="shared" si="7"/>
        <v>No</v>
      </c>
      <c r="J193" s="137"/>
      <c r="K193" s="123"/>
      <c r="L193" s="4"/>
      <c r="M193" s="4"/>
      <c r="N193" s="211"/>
      <c r="O193" s="137"/>
      <c r="P193" s="4"/>
      <c r="Q193" s="5"/>
      <c r="R193" s="137"/>
      <c r="S193" s="5"/>
      <c r="T193" s="137"/>
      <c r="U193" s="4"/>
      <c r="V193" s="137"/>
      <c r="W193" s="4"/>
      <c r="X193" s="4"/>
      <c r="Y193" s="5"/>
      <c r="Z193" s="137"/>
      <c r="AA193" s="5"/>
      <c r="AB193" s="154"/>
      <c r="AC193" s="155"/>
      <c r="AD193" s="123"/>
      <c r="AE193" s="121"/>
      <c r="AF193" s="248"/>
    </row>
    <row r="194" spans="1:32" x14ac:dyDescent="0.3">
      <c r="A194" s="115"/>
      <c r="B194" s="137"/>
      <c r="C194" s="4"/>
      <c r="D194" s="4"/>
      <c r="E194" s="4"/>
      <c r="F194" s="126"/>
      <c r="G194" s="206"/>
      <c r="H194" s="4"/>
      <c r="I194" s="119" t="str">
        <f t="shared" si="7"/>
        <v>No</v>
      </c>
      <c r="J194" s="137"/>
      <c r="K194" s="123"/>
      <c r="L194" s="4"/>
      <c r="M194" s="4"/>
      <c r="N194" s="211"/>
      <c r="O194" s="137"/>
      <c r="P194" s="4"/>
      <c r="Q194" s="5"/>
      <c r="R194" s="137"/>
      <c r="S194" s="5"/>
      <c r="T194" s="137"/>
      <c r="U194" s="4"/>
      <c r="V194" s="137"/>
      <c r="W194" s="4"/>
      <c r="X194" s="4"/>
      <c r="Y194" s="5"/>
      <c r="Z194" s="137"/>
      <c r="AA194" s="5"/>
      <c r="AB194" s="154"/>
      <c r="AC194" s="155"/>
      <c r="AD194" s="123"/>
      <c r="AE194" s="121"/>
      <c r="AF194" s="248"/>
    </row>
    <row r="195" spans="1:32" x14ac:dyDescent="0.3">
      <c r="A195" s="115"/>
      <c r="B195" s="137"/>
      <c r="C195" s="4"/>
      <c r="D195" s="4"/>
      <c r="E195" s="4"/>
      <c r="F195" s="126"/>
      <c r="G195" s="206"/>
      <c r="H195" s="4"/>
      <c r="I195" s="119" t="str">
        <f t="shared" si="7"/>
        <v>No</v>
      </c>
      <c r="J195" s="137"/>
      <c r="K195" s="123"/>
      <c r="L195" s="4"/>
      <c r="M195" s="4"/>
      <c r="N195" s="211"/>
      <c r="O195" s="137"/>
      <c r="P195" s="4"/>
      <c r="Q195" s="5"/>
      <c r="R195" s="137"/>
      <c r="S195" s="5"/>
      <c r="T195" s="137"/>
      <c r="U195" s="4"/>
      <c r="V195" s="137"/>
      <c r="W195" s="4"/>
      <c r="X195" s="4"/>
      <c r="Y195" s="5"/>
      <c r="Z195" s="137"/>
      <c r="AA195" s="5"/>
      <c r="AB195" s="154"/>
      <c r="AC195" s="155"/>
      <c r="AD195" s="123"/>
      <c r="AE195" s="121"/>
      <c r="AF195" s="248"/>
    </row>
    <row r="196" spans="1:32" x14ac:dyDescent="0.3">
      <c r="A196" s="115"/>
      <c r="B196" s="137"/>
      <c r="C196" s="4"/>
      <c r="D196" s="4"/>
      <c r="E196" s="4"/>
      <c r="F196" s="126"/>
      <c r="G196" s="206"/>
      <c r="H196" s="4"/>
      <c r="I196" s="119" t="str">
        <f t="shared" si="7"/>
        <v>No</v>
      </c>
      <c r="J196" s="137"/>
      <c r="K196" s="123"/>
      <c r="L196" s="4"/>
      <c r="M196" s="4"/>
      <c r="N196" s="211"/>
      <c r="O196" s="137"/>
      <c r="P196" s="4"/>
      <c r="Q196" s="5"/>
      <c r="R196" s="137"/>
      <c r="S196" s="5"/>
      <c r="T196" s="137"/>
      <c r="U196" s="4"/>
      <c r="V196" s="137"/>
      <c r="W196" s="4"/>
      <c r="X196" s="4"/>
      <c r="Y196" s="5"/>
      <c r="Z196" s="137"/>
      <c r="AA196" s="5"/>
      <c r="AB196" s="154"/>
      <c r="AC196" s="155"/>
      <c r="AD196" s="123"/>
      <c r="AE196" s="121"/>
      <c r="AF196" s="248"/>
    </row>
    <row r="197" spans="1:32" x14ac:dyDescent="0.3">
      <c r="A197" s="115"/>
      <c r="B197" s="137"/>
      <c r="C197" s="4"/>
      <c r="D197" s="4"/>
      <c r="E197" s="4"/>
      <c r="F197" s="126"/>
      <c r="G197" s="206"/>
      <c r="H197" s="4"/>
      <c r="I197" s="119" t="str">
        <f t="shared" si="7"/>
        <v>No</v>
      </c>
      <c r="J197" s="137"/>
      <c r="K197" s="123"/>
      <c r="L197" s="4"/>
      <c r="M197" s="4"/>
      <c r="N197" s="211"/>
      <c r="O197" s="137"/>
      <c r="P197" s="4"/>
      <c r="Q197" s="5"/>
      <c r="R197" s="137"/>
      <c r="S197" s="5"/>
      <c r="T197" s="137"/>
      <c r="U197" s="4"/>
      <c r="V197" s="137"/>
      <c r="W197" s="4"/>
      <c r="X197" s="4"/>
      <c r="Y197" s="5"/>
      <c r="Z197" s="137"/>
      <c r="AA197" s="5"/>
      <c r="AB197" s="154"/>
      <c r="AC197" s="155"/>
      <c r="AD197" s="123"/>
      <c r="AE197" s="121"/>
      <c r="AF197" s="248"/>
    </row>
    <row r="198" spans="1:32" x14ac:dyDescent="0.3">
      <c r="A198" s="115"/>
      <c r="B198" s="137"/>
      <c r="C198" s="4"/>
      <c r="D198" s="4"/>
      <c r="E198" s="4"/>
      <c r="F198" s="126"/>
      <c r="G198" s="206"/>
      <c r="H198" s="4"/>
      <c r="I198" s="119" t="str">
        <f t="shared" si="7"/>
        <v>No</v>
      </c>
      <c r="J198" s="137"/>
      <c r="K198" s="123"/>
      <c r="L198" s="4"/>
      <c r="M198" s="4"/>
      <c r="N198" s="211"/>
      <c r="O198" s="137"/>
      <c r="P198" s="4"/>
      <c r="Q198" s="5"/>
      <c r="R198" s="137"/>
      <c r="S198" s="5"/>
      <c r="T198" s="137"/>
      <c r="U198" s="4"/>
      <c r="V198" s="137"/>
      <c r="W198" s="4"/>
      <c r="X198" s="4"/>
      <c r="Y198" s="5"/>
      <c r="Z198" s="137"/>
      <c r="AA198" s="5"/>
      <c r="AB198" s="154"/>
      <c r="AC198" s="155"/>
      <c r="AD198" s="123"/>
      <c r="AE198" s="121"/>
      <c r="AF198" s="248"/>
    </row>
    <row r="199" spans="1:32" x14ac:dyDescent="0.3">
      <c r="A199" s="115"/>
      <c r="B199" s="137"/>
      <c r="C199" s="4"/>
      <c r="D199" s="4"/>
      <c r="E199" s="4"/>
      <c r="F199" s="126"/>
      <c r="G199" s="206"/>
      <c r="H199" s="4"/>
      <c r="I199" s="119" t="str">
        <f t="shared" si="7"/>
        <v>No</v>
      </c>
      <c r="J199" s="137"/>
      <c r="K199" s="123"/>
      <c r="L199" s="4"/>
      <c r="M199" s="4"/>
      <c r="N199" s="211"/>
      <c r="O199" s="137"/>
      <c r="P199" s="4"/>
      <c r="Q199" s="5"/>
      <c r="R199" s="137"/>
      <c r="S199" s="5"/>
      <c r="T199" s="137"/>
      <c r="U199" s="4"/>
      <c r="V199" s="137"/>
      <c r="W199" s="4"/>
      <c r="X199" s="4"/>
      <c r="Y199" s="5"/>
      <c r="Z199" s="137"/>
      <c r="AA199" s="5"/>
      <c r="AB199" s="154"/>
      <c r="AC199" s="155"/>
      <c r="AD199" s="123"/>
      <c r="AE199" s="121"/>
      <c r="AF199" s="248"/>
    </row>
    <row r="200" spans="1:32" x14ac:dyDescent="0.3">
      <c r="A200" s="115"/>
      <c r="B200" s="137"/>
      <c r="C200" s="4"/>
      <c r="D200" s="4"/>
      <c r="E200" s="4"/>
      <c r="F200" s="126"/>
      <c r="G200" s="206"/>
      <c r="H200" s="4"/>
      <c r="I200" s="119" t="str">
        <f t="shared" si="7"/>
        <v>No</v>
      </c>
      <c r="J200" s="137"/>
      <c r="K200" s="123"/>
      <c r="L200" s="4"/>
      <c r="M200" s="4"/>
      <c r="N200" s="211"/>
      <c r="O200" s="137"/>
      <c r="P200" s="4"/>
      <c r="Q200" s="5"/>
      <c r="R200" s="137"/>
      <c r="S200" s="5"/>
      <c r="T200" s="137"/>
      <c r="U200" s="4"/>
      <c r="V200" s="137"/>
      <c r="W200" s="4"/>
      <c r="X200" s="4"/>
      <c r="Y200" s="5"/>
      <c r="Z200" s="137"/>
      <c r="AA200" s="5"/>
      <c r="AB200" s="154"/>
      <c r="AC200" s="155"/>
      <c r="AD200" s="123"/>
      <c r="AE200" s="121"/>
      <c r="AF200" s="248"/>
    </row>
    <row r="201" spans="1:32" x14ac:dyDescent="0.3">
      <c r="A201" s="115"/>
      <c r="B201" s="137"/>
      <c r="C201" s="4"/>
      <c r="D201" s="4"/>
      <c r="E201" s="4"/>
      <c r="F201" s="126"/>
      <c r="G201" s="206"/>
      <c r="H201" s="4"/>
      <c r="I201" s="119" t="str">
        <f t="shared" si="7"/>
        <v>No</v>
      </c>
      <c r="J201" s="137"/>
      <c r="K201" s="123"/>
      <c r="L201" s="4"/>
      <c r="M201" s="4"/>
      <c r="N201" s="211"/>
      <c r="O201" s="137"/>
      <c r="P201" s="4"/>
      <c r="Q201" s="5"/>
      <c r="R201" s="137"/>
      <c r="S201" s="5"/>
      <c r="T201" s="137"/>
      <c r="U201" s="4"/>
      <c r="V201" s="137"/>
      <c r="W201" s="4"/>
      <c r="X201" s="4"/>
      <c r="Y201" s="5"/>
      <c r="Z201" s="137"/>
      <c r="AA201" s="5"/>
      <c r="AB201" s="154"/>
      <c r="AC201" s="155"/>
      <c r="AD201" s="123"/>
      <c r="AE201" s="121"/>
      <c r="AF201" s="248"/>
    </row>
    <row r="202" spans="1:32" x14ac:dyDescent="0.3">
      <c r="A202" s="115"/>
      <c r="B202" s="137"/>
      <c r="C202" s="4"/>
      <c r="D202" s="4"/>
      <c r="E202" s="4"/>
      <c r="F202" s="126"/>
      <c r="G202" s="206"/>
      <c r="H202" s="4"/>
      <c r="I202" s="119" t="str">
        <f t="shared" si="7"/>
        <v>No</v>
      </c>
      <c r="J202" s="137"/>
      <c r="K202" s="123"/>
      <c r="L202" s="4"/>
      <c r="M202" s="4"/>
      <c r="N202" s="211"/>
      <c r="O202" s="137"/>
      <c r="P202" s="4"/>
      <c r="Q202" s="5"/>
      <c r="R202" s="137"/>
      <c r="S202" s="5"/>
      <c r="T202" s="137"/>
      <c r="U202" s="4"/>
      <c r="V202" s="137"/>
      <c r="W202" s="4"/>
      <c r="X202" s="4"/>
      <c r="Y202" s="5"/>
      <c r="Z202" s="137"/>
      <c r="AA202" s="5"/>
      <c r="AB202" s="154"/>
      <c r="AC202" s="155"/>
      <c r="AD202" s="123"/>
      <c r="AE202" s="121"/>
      <c r="AF202" s="248"/>
    </row>
    <row r="203" spans="1:32" x14ac:dyDescent="0.3">
      <c r="A203" s="115"/>
      <c r="B203" s="137"/>
      <c r="C203" s="4"/>
      <c r="D203" s="4"/>
      <c r="E203" s="4"/>
      <c r="F203" s="126"/>
      <c r="G203" s="206"/>
      <c r="H203" s="4"/>
      <c r="I203" s="119" t="str">
        <f t="shared" si="7"/>
        <v>No</v>
      </c>
      <c r="J203" s="137"/>
      <c r="K203" s="123"/>
      <c r="L203" s="4"/>
      <c r="M203" s="4"/>
      <c r="N203" s="211"/>
      <c r="O203" s="137"/>
      <c r="P203" s="4"/>
      <c r="Q203" s="5"/>
      <c r="R203" s="137"/>
      <c r="S203" s="5"/>
      <c r="T203" s="137"/>
      <c r="U203" s="4"/>
      <c r="V203" s="137"/>
      <c r="W203" s="4"/>
      <c r="X203" s="4"/>
      <c r="Y203" s="5"/>
      <c r="Z203" s="137"/>
      <c r="AA203" s="5"/>
      <c r="AB203" s="154"/>
      <c r="AC203" s="155"/>
      <c r="AD203" s="123"/>
      <c r="AE203" s="121"/>
      <c r="AF203" s="248"/>
    </row>
    <row r="204" spans="1:32" x14ac:dyDescent="0.3">
      <c r="A204" s="115"/>
      <c r="B204" s="137"/>
      <c r="C204" s="4"/>
      <c r="D204" s="4"/>
      <c r="E204" s="4"/>
      <c r="F204" s="126"/>
      <c r="G204" s="206"/>
      <c r="H204" s="4"/>
      <c r="I204" s="119" t="str">
        <f t="shared" si="7"/>
        <v>No</v>
      </c>
      <c r="J204" s="137"/>
      <c r="K204" s="123"/>
      <c r="L204" s="4"/>
      <c r="M204" s="4"/>
      <c r="N204" s="211"/>
      <c r="O204" s="137"/>
      <c r="P204" s="4"/>
      <c r="Q204" s="5"/>
      <c r="R204" s="137"/>
      <c r="S204" s="5"/>
      <c r="T204" s="137"/>
      <c r="U204" s="4"/>
      <c r="V204" s="137"/>
      <c r="W204" s="4"/>
      <c r="X204" s="4"/>
      <c r="Y204" s="5"/>
      <c r="Z204" s="137"/>
      <c r="AA204" s="5"/>
      <c r="AB204" s="154"/>
      <c r="AC204" s="155"/>
      <c r="AD204" s="123"/>
      <c r="AE204" s="121"/>
      <c r="AF204" s="248"/>
    </row>
    <row r="205" spans="1:32" x14ac:dyDescent="0.3">
      <c r="A205" s="115"/>
      <c r="B205" s="137"/>
      <c r="C205" s="4"/>
      <c r="D205" s="4"/>
      <c r="E205" s="4"/>
      <c r="F205" s="126"/>
      <c r="G205" s="206"/>
      <c r="H205" s="4"/>
      <c r="I205" s="119" t="str">
        <f t="shared" si="7"/>
        <v>No</v>
      </c>
      <c r="J205" s="137"/>
      <c r="K205" s="123"/>
      <c r="L205" s="4"/>
      <c r="M205" s="4"/>
      <c r="N205" s="211"/>
      <c r="O205" s="137"/>
      <c r="P205" s="4"/>
      <c r="Q205" s="5"/>
      <c r="R205" s="137"/>
      <c r="S205" s="5"/>
      <c r="T205" s="137"/>
      <c r="U205" s="4"/>
      <c r="V205" s="137"/>
      <c r="W205" s="4"/>
      <c r="X205" s="4"/>
      <c r="Y205" s="5"/>
      <c r="Z205" s="137"/>
      <c r="AA205" s="5"/>
      <c r="AB205" s="154"/>
      <c r="AC205" s="155"/>
      <c r="AD205" s="123"/>
      <c r="AE205" s="121"/>
      <c r="AF205" s="248"/>
    </row>
    <row r="206" spans="1:32" x14ac:dyDescent="0.3">
      <c r="A206" s="115"/>
      <c r="B206" s="137"/>
      <c r="C206" s="4"/>
      <c r="D206" s="4"/>
      <c r="E206" s="4"/>
      <c r="F206" s="126"/>
      <c r="G206" s="206"/>
      <c r="H206" s="4"/>
      <c r="I206" s="119" t="str">
        <f t="shared" si="7"/>
        <v>No</v>
      </c>
      <c r="J206" s="137"/>
      <c r="K206" s="123"/>
      <c r="L206" s="4"/>
      <c r="M206" s="4"/>
      <c r="N206" s="211"/>
      <c r="O206" s="137"/>
      <c r="P206" s="4"/>
      <c r="Q206" s="5"/>
      <c r="R206" s="137"/>
      <c r="S206" s="5"/>
      <c r="T206" s="137"/>
      <c r="U206" s="4"/>
      <c r="V206" s="137"/>
      <c r="W206" s="4"/>
      <c r="X206" s="4"/>
      <c r="Y206" s="5"/>
      <c r="Z206" s="137"/>
      <c r="AA206" s="5"/>
      <c r="AB206" s="154"/>
      <c r="AC206" s="155"/>
      <c r="AD206" s="123"/>
      <c r="AE206" s="121"/>
      <c r="AF206" s="248"/>
    </row>
    <row r="207" spans="1:32" x14ac:dyDescent="0.3">
      <c r="A207" s="115"/>
      <c r="B207" s="137"/>
      <c r="C207" s="4"/>
      <c r="D207" s="4"/>
      <c r="E207" s="4"/>
      <c r="F207" s="126"/>
      <c r="G207" s="206"/>
      <c r="H207" s="4"/>
      <c r="I207" s="119" t="str">
        <f t="shared" si="7"/>
        <v>No</v>
      </c>
      <c r="J207" s="137"/>
      <c r="K207" s="123"/>
      <c r="L207" s="4"/>
      <c r="M207" s="4"/>
      <c r="N207" s="211"/>
      <c r="O207" s="137"/>
      <c r="P207" s="4"/>
      <c r="Q207" s="5"/>
      <c r="R207" s="137"/>
      <c r="S207" s="5"/>
      <c r="T207" s="137"/>
      <c r="U207" s="4"/>
      <c r="V207" s="137"/>
      <c r="W207" s="4"/>
      <c r="X207" s="4"/>
      <c r="Y207" s="5"/>
      <c r="Z207" s="137"/>
      <c r="AA207" s="5"/>
      <c r="AB207" s="154"/>
      <c r="AC207" s="155"/>
      <c r="AD207" s="123"/>
      <c r="AE207" s="121"/>
      <c r="AF207" s="248"/>
    </row>
    <row r="208" spans="1:32" x14ac:dyDescent="0.3">
      <c r="A208" s="115"/>
      <c r="B208" s="137"/>
      <c r="C208" s="4"/>
      <c r="D208" s="4"/>
      <c r="E208" s="4"/>
      <c r="F208" s="126"/>
      <c r="G208" s="206"/>
      <c r="H208" s="4"/>
      <c r="I208" s="119" t="str">
        <f t="shared" si="7"/>
        <v>No</v>
      </c>
      <c r="J208" s="137"/>
      <c r="K208" s="123"/>
      <c r="L208" s="4"/>
      <c r="M208" s="4"/>
      <c r="N208" s="211"/>
      <c r="O208" s="137"/>
      <c r="P208" s="4"/>
      <c r="Q208" s="5"/>
      <c r="R208" s="137"/>
      <c r="S208" s="5"/>
      <c r="T208" s="137"/>
      <c r="U208" s="4"/>
      <c r="V208" s="137"/>
      <c r="W208" s="4"/>
      <c r="X208" s="4"/>
      <c r="Y208" s="5"/>
      <c r="Z208" s="137"/>
      <c r="AA208" s="5"/>
      <c r="AB208" s="154"/>
      <c r="AC208" s="155"/>
      <c r="AD208" s="123"/>
      <c r="AE208" s="121"/>
      <c r="AF208" s="248"/>
    </row>
    <row r="209" spans="1:32" x14ac:dyDescent="0.3">
      <c r="A209" s="115"/>
      <c r="B209" s="138"/>
      <c r="C209" s="9"/>
      <c r="D209" s="9"/>
      <c r="E209" s="9"/>
      <c r="F209" s="128"/>
      <c r="G209" s="206"/>
      <c r="H209" s="4"/>
      <c r="I209" s="119" t="str">
        <f t="shared" si="7"/>
        <v>No</v>
      </c>
      <c r="J209" s="138"/>
      <c r="K209" s="237"/>
      <c r="L209" s="4"/>
      <c r="M209" s="4"/>
      <c r="N209" s="117"/>
      <c r="O209" s="138"/>
      <c r="P209" s="9"/>
      <c r="Q209" s="147"/>
      <c r="R209" s="138"/>
      <c r="S209" s="147"/>
      <c r="T209" s="138"/>
      <c r="U209" s="4"/>
      <c r="V209" s="137"/>
      <c r="W209" s="4"/>
      <c r="X209" s="4"/>
      <c r="Y209" s="5"/>
      <c r="Z209" s="137"/>
      <c r="AA209" s="5"/>
      <c r="AB209" s="154"/>
      <c r="AC209" s="155"/>
      <c r="AD209" s="123"/>
      <c r="AE209" s="120"/>
      <c r="AF209" s="248"/>
    </row>
    <row r="210" spans="1:32" x14ac:dyDescent="0.3">
      <c r="A210" s="115"/>
      <c r="B210" s="137"/>
      <c r="C210" s="4"/>
      <c r="D210" s="4"/>
      <c r="E210" s="4"/>
      <c r="F210" s="126"/>
      <c r="G210" s="206"/>
      <c r="H210" s="4"/>
      <c r="I210" s="119" t="str">
        <f t="shared" si="7"/>
        <v>No</v>
      </c>
      <c r="J210" s="137"/>
      <c r="K210" s="123"/>
      <c r="L210" s="4"/>
      <c r="M210" s="4"/>
      <c r="N210" s="211"/>
      <c r="O210" s="137"/>
      <c r="P210" s="4"/>
      <c r="Q210" s="5"/>
      <c r="R210" s="137"/>
      <c r="S210" s="5"/>
      <c r="T210" s="137"/>
      <c r="U210" s="4"/>
      <c r="V210" s="137"/>
      <c r="W210" s="4"/>
      <c r="X210" s="4"/>
      <c r="Y210" s="5"/>
      <c r="Z210" s="137"/>
      <c r="AA210" s="5"/>
      <c r="AB210" s="154"/>
      <c r="AC210" s="155"/>
      <c r="AD210" s="123"/>
      <c r="AE210" s="121"/>
      <c r="AF210" s="248"/>
    </row>
    <row r="211" spans="1:32" x14ac:dyDescent="0.3">
      <c r="A211" s="115"/>
      <c r="B211" s="137"/>
      <c r="C211" s="4"/>
      <c r="D211" s="4"/>
      <c r="E211" s="4"/>
      <c r="F211" s="126"/>
      <c r="G211" s="206"/>
      <c r="H211" s="4"/>
      <c r="I211" s="119" t="str">
        <f t="shared" si="7"/>
        <v>No</v>
      </c>
      <c r="J211" s="137"/>
      <c r="K211" s="123"/>
      <c r="L211" s="4"/>
      <c r="M211" s="4"/>
      <c r="N211" s="211"/>
      <c r="O211" s="137"/>
      <c r="P211" s="4"/>
      <c r="Q211" s="5"/>
      <c r="R211" s="137"/>
      <c r="S211" s="5"/>
      <c r="T211" s="137"/>
      <c r="U211" s="4"/>
      <c r="V211" s="137"/>
      <c r="W211" s="4"/>
      <c r="X211" s="4"/>
      <c r="Y211" s="5"/>
      <c r="Z211" s="137"/>
      <c r="AA211" s="5"/>
      <c r="AB211" s="154"/>
      <c r="AC211" s="155"/>
      <c r="AD211" s="123"/>
      <c r="AE211" s="121"/>
      <c r="AF211" s="248"/>
    </row>
    <row r="212" spans="1:32" x14ac:dyDescent="0.3">
      <c r="A212" s="115"/>
      <c r="B212" s="137"/>
      <c r="C212" s="4"/>
      <c r="D212" s="4"/>
      <c r="E212" s="4"/>
      <c r="F212" s="126"/>
      <c r="G212" s="206"/>
      <c r="H212" s="4"/>
      <c r="I212" s="119" t="str">
        <f t="shared" si="7"/>
        <v>No</v>
      </c>
      <c r="J212" s="137"/>
      <c r="K212" s="123"/>
      <c r="L212" s="4"/>
      <c r="M212" s="4"/>
      <c r="N212" s="211"/>
      <c r="O212" s="137"/>
      <c r="P212" s="4"/>
      <c r="Q212" s="5"/>
      <c r="R212" s="137"/>
      <c r="S212" s="5"/>
      <c r="T212" s="137"/>
      <c r="U212" s="4"/>
      <c r="V212" s="137"/>
      <c r="W212" s="4"/>
      <c r="X212" s="4"/>
      <c r="Y212" s="5"/>
      <c r="Z212" s="137"/>
      <c r="AA212" s="5"/>
      <c r="AB212" s="154"/>
      <c r="AC212" s="155"/>
      <c r="AD212" s="123"/>
      <c r="AE212" s="121"/>
      <c r="AF212" s="248"/>
    </row>
    <row r="213" spans="1:32" x14ac:dyDescent="0.3">
      <c r="A213" s="115"/>
      <c r="B213" s="137"/>
      <c r="C213" s="4"/>
      <c r="D213" s="4"/>
      <c r="E213" s="4"/>
      <c r="F213" s="126"/>
      <c r="G213" s="206"/>
      <c r="H213" s="4"/>
      <c r="I213" s="119" t="str">
        <f t="shared" si="7"/>
        <v>No</v>
      </c>
      <c r="J213" s="137"/>
      <c r="K213" s="123"/>
      <c r="L213" s="4"/>
      <c r="M213" s="4"/>
      <c r="N213" s="211"/>
      <c r="O213" s="137"/>
      <c r="P213" s="4"/>
      <c r="Q213" s="5"/>
      <c r="R213" s="137"/>
      <c r="S213" s="5"/>
      <c r="T213" s="137"/>
      <c r="U213" s="4"/>
      <c r="V213" s="137"/>
      <c r="W213" s="4"/>
      <c r="X213" s="4"/>
      <c r="Y213" s="5"/>
      <c r="Z213" s="137"/>
      <c r="AA213" s="5"/>
      <c r="AB213" s="154"/>
      <c r="AC213" s="155"/>
      <c r="AD213" s="123"/>
      <c r="AE213" s="121"/>
      <c r="AF213" s="248"/>
    </row>
    <row r="214" spans="1:32" x14ac:dyDescent="0.3">
      <c r="A214" s="115"/>
      <c r="B214" s="137"/>
      <c r="C214" s="4"/>
      <c r="D214" s="4"/>
      <c r="E214" s="4"/>
      <c r="F214" s="126"/>
      <c r="G214" s="206"/>
      <c r="H214" s="4"/>
      <c r="I214" s="119" t="str">
        <f t="shared" si="7"/>
        <v>No</v>
      </c>
      <c r="J214" s="137"/>
      <c r="K214" s="123"/>
      <c r="L214" s="4"/>
      <c r="M214" s="4"/>
      <c r="N214" s="211"/>
      <c r="O214" s="137"/>
      <c r="P214" s="4"/>
      <c r="Q214" s="5"/>
      <c r="R214" s="137"/>
      <c r="S214" s="5"/>
      <c r="T214" s="137"/>
      <c r="U214" s="4"/>
      <c r="V214" s="137"/>
      <c r="W214" s="4"/>
      <c r="X214" s="4"/>
      <c r="Y214" s="5"/>
      <c r="Z214" s="137"/>
      <c r="AA214" s="5"/>
      <c r="AB214" s="154"/>
      <c r="AC214" s="155"/>
      <c r="AD214" s="123"/>
      <c r="AE214" s="121"/>
      <c r="AF214" s="248"/>
    </row>
    <row r="215" spans="1:32" x14ac:dyDescent="0.3">
      <c r="A215" s="115"/>
      <c r="B215" s="137"/>
      <c r="C215" s="4"/>
      <c r="D215" s="4"/>
      <c r="E215" s="4"/>
      <c r="F215" s="126"/>
      <c r="G215" s="206"/>
      <c r="H215" s="4"/>
      <c r="I215" s="119" t="str">
        <f t="shared" si="7"/>
        <v>No</v>
      </c>
      <c r="J215" s="137"/>
      <c r="K215" s="123"/>
      <c r="L215" s="4"/>
      <c r="M215" s="4"/>
      <c r="N215" s="211"/>
      <c r="O215" s="137"/>
      <c r="P215" s="4"/>
      <c r="Q215" s="5"/>
      <c r="R215" s="137"/>
      <c r="S215" s="5"/>
      <c r="T215" s="137"/>
      <c r="U215" s="4"/>
      <c r="V215" s="137"/>
      <c r="W215" s="4"/>
      <c r="X215" s="4"/>
      <c r="Y215" s="5"/>
      <c r="Z215" s="137"/>
      <c r="AA215" s="5"/>
      <c r="AB215" s="154"/>
      <c r="AC215" s="155"/>
      <c r="AD215" s="123"/>
      <c r="AE215" s="121"/>
      <c r="AF215" s="248"/>
    </row>
    <row r="216" spans="1:32" x14ac:dyDescent="0.3">
      <c r="A216" s="115"/>
      <c r="B216" s="137"/>
      <c r="C216" s="4"/>
      <c r="D216" s="4"/>
      <c r="E216" s="4"/>
      <c r="F216" s="126"/>
      <c r="G216" s="206"/>
      <c r="H216" s="4"/>
      <c r="I216" s="119" t="str">
        <f t="shared" ref="I216:I239" si="8">IF(H216&gt;=37.8,"Yes","No")</f>
        <v>No</v>
      </c>
      <c r="J216" s="137"/>
      <c r="K216" s="123"/>
      <c r="L216" s="4"/>
      <c r="M216" s="4"/>
      <c r="N216" s="211"/>
      <c r="O216" s="137"/>
      <c r="P216" s="4"/>
      <c r="Q216" s="5"/>
      <c r="R216" s="137"/>
      <c r="S216" s="5"/>
      <c r="T216" s="137"/>
      <c r="U216" s="4"/>
      <c r="V216" s="137"/>
      <c r="W216" s="4"/>
      <c r="X216" s="4"/>
      <c r="Y216" s="5"/>
      <c r="Z216" s="137"/>
      <c r="AA216" s="5"/>
      <c r="AB216" s="154"/>
      <c r="AC216" s="155"/>
      <c r="AD216" s="123"/>
      <c r="AE216" s="121"/>
      <c r="AF216" s="248"/>
    </row>
    <row r="217" spans="1:32" x14ac:dyDescent="0.3">
      <c r="A217" s="115"/>
      <c r="B217" s="137"/>
      <c r="C217" s="4"/>
      <c r="D217" s="4"/>
      <c r="E217" s="4"/>
      <c r="F217" s="126"/>
      <c r="G217" s="206"/>
      <c r="H217" s="4"/>
      <c r="I217" s="119" t="str">
        <f t="shared" si="8"/>
        <v>No</v>
      </c>
      <c r="J217" s="137"/>
      <c r="K217" s="123"/>
      <c r="L217" s="4"/>
      <c r="M217" s="4"/>
      <c r="N217" s="211"/>
      <c r="O217" s="137"/>
      <c r="P217" s="4"/>
      <c r="Q217" s="5"/>
      <c r="R217" s="137"/>
      <c r="S217" s="5"/>
      <c r="T217" s="137"/>
      <c r="U217" s="4"/>
      <c r="V217" s="137"/>
      <c r="W217" s="4"/>
      <c r="X217" s="4"/>
      <c r="Y217" s="5"/>
      <c r="Z217" s="137"/>
      <c r="AA217" s="5"/>
      <c r="AB217" s="154"/>
      <c r="AC217" s="155"/>
      <c r="AD217" s="123"/>
      <c r="AE217" s="121"/>
      <c r="AF217" s="248"/>
    </row>
    <row r="218" spans="1:32" x14ac:dyDescent="0.3">
      <c r="A218" s="115"/>
      <c r="B218" s="137"/>
      <c r="C218" s="4"/>
      <c r="D218" s="4"/>
      <c r="E218" s="4"/>
      <c r="F218" s="126"/>
      <c r="G218" s="206"/>
      <c r="H218" s="4"/>
      <c r="I218" s="119" t="str">
        <f t="shared" si="8"/>
        <v>No</v>
      </c>
      <c r="J218" s="137"/>
      <c r="K218" s="123"/>
      <c r="L218" s="4"/>
      <c r="M218" s="4"/>
      <c r="N218" s="211"/>
      <c r="O218" s="137"/>
      <c r="P218" s="4"/>
      <c r="Q218" s="5"/>
      <c r="R218" s="137"/>
      <c r="S218" s="5"/>
      <c r="T218" s="137"/>
      <c r="U218" s="4"/>
      <c r="V218" s="137"/>
      <c r="W218" s="4"/>
      <c r="X218" s="4"/>
      <c r="Y218" s="5"/>
      <c r="Z218" s="137"/>
      <c r="AB218" s="154"/>
      <c r="AC218" s="155"/>
      <c r="AD218" s="123"/>
      <c r="AE218" s="121"/>
      <c r="AF218" s="248"/>
    </row>
    <row r="219" spans="1:32" x14ac:dyDescent="0.3">
      <c r="A219" s="115"/>
      <c r="B219" s="137"/>
      <c r="C219" s="4"/>
      <c r="D219" s="4"/>
      <c r="E219" s="4"/>
      <c r="F219" s="126"/>
      <c r="G219" s="206"/>
      <c r="H219" s="4"/>
      <c r="I219" s="119" t="str">
        <f t="shared" si="8"/>
        <v>No</v>
      </c>
      <c r="J219" s="137"/>
      <c r="K219" s="123"/>
      <c r="L219" s="4"/>
      <c r="M219" s="4"/>
      <c r="N219" s="211"/>
      <c r="O219" s="137"/>
      <c r="P219" s="4"/>
      <c r="Q219" s="5"/>
      <c r="R219" s="137"/>
      <c r="S219" s="5"/>
      <c r="T219" s="137"/>
      <c r="U219" s="4"/>
      <c r="V219" s="137"/>
      <c r="W219" s="4"/>
      <c r="X219" s="4"/>
      <c r="Y219" s="5"/>
      <c r="Z219" s="137"/>
      <c r="AA219" s="5"/>
      <c r="AB219" s="154"/>
      <c r="AC219" s="155"/>
      <c r="AD219" s="123"/>
      <c r="AE219" s="121"/>
      <c r="AF219" s="248"/>
    </row>
    <row r="220" spans="1:32" x14ac:dyDescent="0.3">
      <c r="A220" s="115"/>
      <c r="B220" s="137"/>
      <c r="C220" s="4"/>
      <c r="D220" s="4"/>
      <c r="E220" s="4"/>
      <c r="F220" s="126"/>
      <c r="G220" s="206"/>
      <c r="H220" s="4"/>
      <c r="I220" s="119" t="str">
        <f t="shared" si="8"/>
        <v>No</v>
      </c>
      <c r="J220" s="137"/>
      <c r="K220" s="123"/>
      <c r="L220" s="4"/>
      <c r="M220" s="4"/>
      <c r="N220" s="211"/>
      <c r="O220" s="137"/>
      <c r="P220" s="4"/>
      <c r="Q220" s="5"/>
      <c r="R220" s="137"/>
      <c r="S220" s="5"/>
      <c r="T220" s="137"/>
      <c r="U220" s="4"/>
      <c r="V220" s="137"/>
      <c r="W220" s="4"/>
      <c r="X220" s="4"/>
      <c r="Y220" s="5"/>
      <c r="Z220" s="137"/>
      <c r="AA220" s="5"/>
      <c r="AB220" s="154"/>
      <c r="AC220" s="155"/>
      <c r="AD220" s="123"/>
      <c r="AE220" s="121"/>
      <c r="AF220" s="248"/>
    </row>
    <row r="221" spans="1:32" x14ac:dyDescent="0.3">
      <c r="A221" s="115"/>
      <c r="B221" s="137"/>
      <c r="C221" s="4"/>
      <c r="D221" s="4"/>
      <c r="E221" s="4"/>
      <c r="F221" s="126"/>
      <c r="G221" s="206"/>
      <c r="H221" s="4"/>
      <c r="I221" s="119" t="str">
        <f t="shared" si="8"/>
        <v>No</v>
      </c>
      <c r="J221" s="137"/>
      <c r="K221" s="123"/>
      <c r="L221" s="4"/>
      <c r="M221" s="4"/>
      <c r="N221" s="211"/>
      <c r="O221" s="137"/>
      <c r="P221" s="4"/>
      <c r="Q221" s="5"/>
      <c r="R221" s="137"/>
      <c r="S221" s="5"/>
      <c r="T221" s="137"/>
      <c r="U221" s="4"/>
      <c r="V221" s="137"/>
      <c r="W221" s="4"/>
      <c r="X221" s="4"/>
      <c r="Y221" s="5"/>
      <c r="Z221" s="137"/>
      <c r="AA221" s="5"/>
      <c r="AB221" s="154"/>
      <c r="AC221" s="155"/>
      <c r="AD221" s="123"/>
      <c r="AE221" s="121"/>
      <c r="AF221" s="248"/>
    </row>
    <row r="222" spans="1:32" x14ac:dyDescent="0.3">
      <c r="A222" s="115"/>
      <c r="B222" s="137"/>
      <c r="C222" s="4"/>
      <c r="D222" s="4"/>
      <c r="E222" s="4"/>
      <c r="F222" s="126"/>
      <c r="G222" s="206"/>
      <c r="H222" s="4"/>
      <c r="I222" s="119" t="str">
        <f t="shared" si="8"/>
        <v>No</v>
      </c>
      <c r="J222" s="137"/>
      <c r="K222" s="123"/>
      <c r="L222" s="4"/>
      <c r="M222" s="4"/>
      <c r="N222" s="211"/>
      <c r="O222" s="137"/>
      <c r="P222" s="4"/>
      <c r="Q222" s="5"/>
      <c r="R222" s="137"/>
      <c r="S222" s="5"/>
      <c r="T222" s="137"/>
      <c r="U222" s="4"/>
      <c r="V222" s="137"/>
      <c r="W222" s="4"/>
      <c r="X222" s="4"/>
      <c r="Y222" s="5"/>
      <c r="Z222" s="137"/>
      <c r="AA222" s="5"/>
      <c r="AB222" s="154"/>
      <c r="AC222" s="155"/>
      <c r="AD222" s="123"/>
      <c r="AE222" s="121"/>
      <c r="AF222" s="248"/>
    </row>
    <row r="223" spans="1:32" x14ac:dyDescent="0.3">
      <c r="A223" s="115"/>
      <c r="B223" s="137"/>
      <c r="C223" s="4"/>
      <c r="D223" s="4"/>
      <c r="E223" s="4"/>
      <c r="F223" s="126"/>
      <c r="G223" s="206"/>
      <c r="H223" s="4"/>
      <c r="I223" s="119" t="str">
        <f t="shared" si="8"/>
        <v>No</v>
      </c>
      <c r="J223" s="137"/>
      <c r="K223" s="123"/>
      <c r="L223" s="4"/>
      <c r="M223" s="4"/>
      <c r="N223" s="211"/>
      <c r="O223" s="137"/>
      <c r="P223" s="4"/>
      <c r="Q223" s="5"/>
      <c r="R223" s="137"/>
      <c r="S223" s="5"/>
      <c r="T223" s="137"/>
      <c r="U223" s="4"/>
      <c r="V223" s="137"/>
      <c r="W223" s="4"/>
      <c r="X223" s="4"/>
      <c r="Y223" s="5"/>
      <c r="Z223" s="137"/>
      <c r="AA223" s="5"/>
      <c r="AB223" s="154"/>
      <c r="AC223" s="155"/>
      <c r="AD223" s="123"/>
      <c r="AE223" s="121"/>
      <c r="AF223" s="248"/>
    </row>
    <row r="224" spans="1:32" x14ac:dyDescent="0.3">
      <c r="A224" s="115"/>
      <c r="B224" s="137"/>
      <c r="C224" s="4"/>
      <c r="D224" s="4"/>
      <c r="E224" s="4"/>
      <c r="F224" s="126"/>
      <c r="G224" s="206"/>
      <c r="H224" s="4"/>
      <c r="I224" s="119" t="str">
        <f t="shared" si="8"/>
        <v>No</v>
      </c>
      <c r="J224" s="137"/>
      <c r="K224" s="123"/>
      <c r="L224" s="4"/>
      <c r="M224" s="4"/>
      <c r="N224" s="211"/>
      <c r="O224" s="137"/>
      <c r="P224" s="4"/>
      <c r="Q224" s="5"/>
      <c r="R224" s="137"/>
      <c r="S224" s="5"/>
      <c r="T224" s="137"/>
      <c r="U224" s="4"/>
      <c r="V224" s="137"/>
      <c r="W224" s="4"/>
      <c r="X224" s="4"/>
      <c r="Y224" s="5"/>
      <c r="Z224" s="137"/>
      <c r="AA224" s="5"/>
      <c r="AB224" s="154"/>
      <c r="AC224" s="155"/>
      <c r="AD224" s="123"/>
      <c r="AE224" s="121"/>
      <c r="AF224" s="248"/>
    </row>
    <row r="225" spans="1:32" x14ac:dyDescent="0.3">
      <c r="A225" s="115"/>
      <c r="B225" s="137"/>
      <c r="C225" s="4"/>
      <c r="D225" s="4"/>
      <c r="E225" s="4"/>
      <c r="F225" s="126"/>
      <c r="G225" s="206"/>
      <c r="H225" s="4"/>
      <c r="I225" s="119" t="str">
        <f t="shared" si="8"/>
        <v>No</v>
      </c>
      <c r="J225" s="137"/>
      <c r="K225" s="123"/>
      <c r="L225" s="4"/>
      <c r="M225" s="4"/>
      <c r="N225" s="211"/>
      <c r="O225" s="137"/>
      <c r="P225" s="4"/>
      <c r="Q225" s="5"/>
      <c r="R225" s="137"/>
      <c r="S225" s="5"/>
      <c r="T225" s="137"/>
      <c r="U225" s="4"/>
      <c r="V225" s="137"/>
      <c r="W225" s="4"/>
      <c r="X225" s="4"/>
      <c r="Y225" s="5"/>
      <c r="Z225" s="137"/>
      <c r="AA225" s="5"/>
      <c r="AB225" s="154"/>
      <c r="AC225" s="155"/>
      <c r="AD225" s="123"/>
      <c r="AE225" s="121"/>
      <c r="AF225" s="248"/>
    </row>
    <row r="226" spans="1:32" x14ac:dyDescent="0.3">
      <c r="A226" s="115"/>
      <c r="B226" s="137"/>
      <c r="C226" s="4"/>
      <c r="D226" s="4"/>
      <c r="E226" s="4"/>
      <c r="F226" s="126"/>
      <c r="G226" s="206"/>
      <c r="H226" s="4"/>
      <c r="I226" s="119" t="str">
        <f t="shared" si="8"/>
        <v>No</v>
      </c>
      <c r="J226" s="137"/>
      <c r="K226" s="123"/>
      <c r="L226" s="4"/>
      <c r="M226" s="4"/>
      <c r="N226" s="211"/>
      <c r="O226" s="137"/>
      <c r="P226" s="4"/>
      <c r="Q226" s="5"/>
      <c r="R226" s="137"/>
      <c r="S226" s="5"/>
      <c r="T226" s="137"/>
      <c r="U226" s="4"/>
      <c r="V226" s="137"/>
      <c r="W226" s="4"/>
      <c r="X226" s="4"/>
      <c r="Y226" s="5"/>
      <c r="Z226" s="137"/>
      <c r="AA226" s="5"/>
      <c r="AB226" s="154"/>
      <c r="AC226" s="155"/>
      <c r="AD226" s="123"/>
      <c r="AE226" s="121"/>
      <c r="AF226" s="248"/>
    </row>
    <row r="227" spans="1:32" x14ac:dyDescent="0.3">
      <c r="A227" s="115"/>
      <c r="B227" s="137"/>
      <c r="C227" s="4"/>
      <c r="D227" s="4"/>
      <c r="E227" s="4"/>
      <c r="F227" s="126"/>
      <c r="G227" s="206"/>
      <c r="H227" s="4"/>
      <c r="I227" s="119" t="str">
        <f t="shared" si="8"/>
        <v>No</v>
      </c>
      <c r="J227" s="137"/>
      <c r="K227" s="123"/>
      <c r="L227" s="4"/>
      <c r="M227" s="4"/>
      <c r="N227" s="211"/>
      <c r="O227" s="137"/>
      <c r="P227" s="4"/>
      <c r="Q227" s="5"/>
      <c r="R227" s="137"/>
      <c r="S227" s="5"/>
      <c r="T227" s="137"/>
      <c r="U227" s="4"/>
      <c r="V227" s="137"/>
      <c r="W227" s="4"/>
      <c r="X227" s="4"/>
      <c r="Y227" s="5"/>
      <c r="Z227" s="137"/>
      <c r="AA227" s="5"/>
      <c r="AB227" s="154"/>
      <c r="AC227" s="155"/>
      <c r="AD227" s="123"/>
      <c r="AE227" s="121"/>
      <c r="AF227" s="248"/>
    </row>
    <row r="228" spans="1:32" x14ac:dyDescent="0.3">
      <c r="A228" s="115"/>
      <c r="B228" s="137"/>
      <c r="C228" s="4"/>
      <c r="D228" s="4"/>
      <c r="E228" s="4"/>
      <c r="F228" s="126"/>
      <c r="G228" s="206"/>
      <c r="H228" s="4"/>
      <c r="I228" s="119" t="str">
        <f t="shared" si="8"/>
        <v>No</v>
      </c>
      <c r="J228" s="137"/>
      <c r="K228" s="123"/>
      <c r="L228" s="4"/>
      <c r="M228" s="4"/>
      <c r="N228" s="211"/>
      <c r="O228" s="137"/>
      <c r="P228" s="4"/>
      <c r="Q228" s="5"/>
      <c r="R228" s="137"/>
      <c r="S228" s="5"/>
      <c r="T228" s="137"/>
      <c r="U228" s="4"/>
      <c r="V228" s="137"/>
      <c r="W228" s="4"/>
      <c r="X228" s="4"/>
      <c r="Y228" s="5"/>
      <c r="Z228" s="137"/>
      <c r="AA228" s="5"/>
      <c r="AB228" s="154"/>
      <c r="AC228" s="155"/>
      <c r="AD228" s="123"/>
      <c r="AE228" s="121"/>
      <c r="AF228" s="248"/>
    </row>
    <row r="229" spans="1:32" x14ac:dyDescent="0.3">
      <c r="A229" s="115"/>
      <c r="B229" s="137"/>
      <c r="C229" s="4"/>
      <c r="D229" s="4"/>
      <c r="E229" s="4"/>
      <c r="F229" s="126"/>
      <c r="G229" s="206"/>
      <c r="H229" s="4"/>
      <c r="I229" s="119" t="str">
        <f t="shared" si="8"/>
        <v>No</v>
      </c>
      <c r="J229" s="137"/>
      <c r="K229" s="123"/>
      <c r="L229" s="4"/>
      <c r="M229" s="4"/>
      <c r="N229" s="211"/>
      <c r="O229" s="137"/>
      <c r="P229" s="4"/>
      <c r="Q229" s="5"/>
      <c r="R229" s="137"/>
      <c r="S229" s="5"/>
      <c r="T229" s="137"/>
      <c r="U229" s="4"/>
      <c r="V229" s="137"/>
      <c r="W229" s="4"/>
      <c r="X229" s="4"/>
      <c r="Y229" s="5"/>
      <c r="Z229" s="137"/>
      <c r="AA229" s="5"/>
      <c r="AB229" s="154"/>
      <c r="AC229" s="155"/>
      <c r="AD229" s="123"/>
      <c r="AE229" s="121"/>
      <c r="AF229" s="248"/>
    </row>
    <row r="230" spans="1:32" x14ac:dyDescent="0.3">
      <c r="A230" s="115"/>
      <c r="B230" s="137"/>
      <c r="C230" s="4"/>
      <c r="D230" s="4"/>
      <c r="E230" s="4"/>
      <c r="F230" s="126"/>
      <c r="G230" s="206"/>
      <c r="H230" s="4"/>
      <c r="I230" s="119" t="str">
        <f t="shared" si="8"/>
        <v>No</v>
      </c>
      <c r="J230" s="137"/>
      <c r="K230" s="123"/>
      <c r="L230" s="4"/>
      <c r="M230" s="4"/>
      <c r="N230" s="211"/>
      <c r="O230" s="137"/>
      <c r="P230" s="4"/>
      <c r="Q230" s="5"/>
      <c r="R230" s="137"/>
      <c r="S230" s="5"/>
      <c r="T230" s="137"/>
      <c r="U230" s="4"/>
      <c r="V230" s="137"/>
      <c r="W230" s="4"/>
      <c r="X230" s="4"/>
      <c r="Y230" s="5"/>
      <c r="Z230" s="137"/>
      <c r="AA230" s="5"/>
      <c r="AB230" s="154"/>
      <c r="AC230" s="155"/>
      <c r="AD230" s="123"/>
      <c r="AE230" s="121"/>
      <c r="AF230" s="248"/>
    </row>
    <row r="231" spans="1:32" x14ac:dyDescent="0.3">
      <c r="A231" s="115"/>
      <c r="B231" s="137"/>
      <c r="C231" s="4"/>
      <c r="D231" s="4"/>
      <c r="E231" s="4"/>
      <c r="F231" s="126"/>
      <c r="G231" s="206"/>
      <c r="H231" s="4"/>
      <c r="I231" s="119" t="str">
        <f t="shared" si="8"/>
        <v>No</v>
      </c>
      <c r="J231" s="137"/>
      <c r="K231" s="123"/>
      <c r="L231" s="4"/>
      <c r="M231" s="4"/>
      <c r="N231" s="211"/>
      <c r="O231" s="137"/>
      <c r="P231" s="4"/>
      <c r="Q231" s="5"/>
      <c r="R231" s="137"/>
      <c r="S231" s="5"/>
      <c r="T231" s="137"/>
      <c r="U231" s="4"/>
      <c r="V231" s="137"/>
      <c r="W231" s="4"/>
      <c r="X231" s="4"/>
      <c r="Y231" s="5"/>
      <c r="Z231" s="137"/>
      <c r="AA231" s="5"/>
      <c r="AB231" s="154"/>
      <c r="AC231" s="155"/>
      <c r="AD231" s="123"/>
      <c r="AE231" s="121"/>
      <c r="AF231" s="248"/>
    </row>
    <row r="232" spans="1:32" x14ac:dyDescent="0.3">
      <c r="A232" s="115"/>
      <c r="B232" s="137"/>
      <c r="C232" s="4"/>
      <c r="D232" s="4"/>
      <c r="E232" s="4"/>
      <c r="F232" s="126"/>
      <c r="G232" s="206"/>
      <c r="H232" s="4"/>
      <c r="I232" s="119" t="str">
        <f t="shared" si="8"/>
        <v>No</v>
      </c>
      <c r="J232" s="137"/>
      <c r="K232" s="123"/>
      <c r="L232" s="4"/>
      <c r="M232" s="4"/>
      <c r="N232" s="211"/>
      <c r="O232" s="137"/>
      <c r="P232" s="4"/>
      <c r="Q232" s="5"/>
      <c r="R232" s="137"/>
      <c r="S232" s="5"/>
      <c r="T232" s="137"/>
      <c r="U232" s="120"/>
      <c r="V232" s="148"/>
      <c r="W232" s="120"/>
      <c r="X232" s="120"/>
      <c r="Y232" s="147"/>
      <c r="Z232" s="148"/>
      <c r="AA232" s="147"/>
      <c r="AB232" s="149"/>
      <c r="AC232" s="150"/>
      <c r="AD232" s="123"/>
      <c r="AE232" s="121"/>
      <c r="AF232" s="248"/>
    </row>
    <row r="233" spans="1:32" x14ac:dyDescent="0.3">
      <c r="A233" s="115"/>
      <c r="B233" s="137"/>
      <c r="C233" s="4"/>
      <c r="D233" s="4"/>
      <c r="E233" s="4"/>
      <c r="F233" s="126"/>
      <c r="G233" s="206"/>
      <c r="H233" s="4"/>
      <c r="I233" s="119" t="str">
        <f t="shared" si="8"/>
        <v>No</v>
      </c>
      <c r="J233" s="137"/>
      <c r="K233" s="123"/>
      <c r="L233" s="4"/>
      <c r="M233" s="4"/>
      <c r="N233" s="211"/>
      <c r="O233" s="137"/>
      <c r="P233" s="4"/>
      <c r="Q233" s="5"/>
      <c r="R233" s="137"/>
      <c r="S233" s="5"/>
      <c r="T233" s="137"/>
      <c r="U233" s="120"/>
      <c r="V233" s="148"/>
      <c r="W233" s="120"/>
      <c r="X233" s="120"/>
      <c r="Y233" s="147"/>
      <c r="Z233" s="148"/>
      <c r="AA233" s="147"/>
      <c r="AB233" s="149"/>
      <c r="AC233" s="150"/>
      <c r="AD233" s="123"/>
      <c r="AE233" s="121"/>
      <c r="AF233" s="248"/>
    </row>
    <row r="234" spans="1:32" x14ac:dyDescent="0.3">
      <c r="A234" s="115"/>
      <c r="B234" s="137"/>
      <c r="C234" s="4"/>
      <c r="D234" s="4"/>
      <c r="E234" s="4"/>
      <c r="F234" s="126"/>
      <c r="G234" s="206"/>
      <c r="H234" s="4"/>
      <c r="I234" s="119" t="str">
        <f t="shared" si="8"/>
        <v>No</v>
      </c>
      <c r="J234" s="137"/>
      <c r="K234" s="123"/>
      <c r="L234" s="4"/>
      <c r="M234" s="4"/>
      <c r="N234" s="211"/>
      <c r="O234" s="137"/>
      <c r="P234" s="4"/>
      <c r="Q234" s="5"/>
      <c r="R234" s="137"/>
      <c r="S234" s="5"/>
      <c r="T234" s="137"/>
      <c r="U234" s="120"/>
      <c r="V234" s="148"/>
      <c r="W234" s="120"/>
      <c r="X234" s="120"/>
      <c r="Y234" s="147"/>
      <c r="Z234" s="148"/>
      <c r="AA234" s="147"/>
      <c r="AB234" s="149"/>
      <c r="AC234" s="150"/>
      <c r="AD234" s="123"/>
      <c r="AE234" s="121"/>
      <c r="AF234" s="248"/>
    </row>
    <row r="235" spans="1:32" x14ac:dyDescent="0.3">
      <c r="A235" s="115"/>
      <c r="B235" s="137"/>
      <c r="C235" s="4"/>
      <c r="D235" s="4"/>
      <c r="E235" s="4"/>
      <c r="F235" s="126"/>
      <c r="G235" s="206"/>
      <c r="H235" s="4"/>
      <c r="I235" s="119" t="str">
        <f t="shared" si="8"/>
        <v>No</v>
      </c>
      <c r="J235" s="137"/>
      <c r="K235" s="123"/>
      <c r="L235" s="4"/>
      <c r="M235" s="4"/>
      <c r="N235" s="211"/>
      <c r="O235" s="137"/>
      <c r="P235" s="4"/>
      <c r="Q235" s="5"/>
      <c r="R235" s="137"/>
      <c r="S235" s="5"/>
      <c r="T235" s="137"/>
      <c r="U235" s="120"/>
      <c r="V235" s="148"/>
      <c r="W235" s="120"/>
      <c r="X235" s="120"/>
      <c r="Y235" s="147"/>
      <c r="Z235" s="148"/>
      <c r="AA235" s="147"/>
      <c r="AB235" s="149"/>
      <c r="AC235" s="150"/>
      <c r="AD235" s="123"/>
      <c r="AE235" s="121"/>
      <c r="AF235" s="248"/>
    </row>
    <row r="236" spans="1:32" x14ac:dyDescent="0.3">
      <c r="A236" s="115"/>
      <c r="B236" s="137"/>
      <c r="C236" s="4"/>
      <c r="D236" s="4"/>
      <c r="E236" s="4"/>
      <c r="F236" s="126"/>
      <c r="G236" s="206"/>
      <c r="H236" s="4"/>
      <c r="I236" s="119" t="str">
        <f t="shared" si="8"/>
        <v>No</v>
      </c>
      <c r="J236" s="137"/>
      <c r="K236" s="123"/>
      <c r="L236" s="4"/>
      <c r="M236" s="4"/>
      <c r="N236" s="211"/>
      <c r="O236" s="137"/>
      <c r="P236" s="4"/>
      <c r="Q236" s="5"/>
      <c r="R236" s="137"/>
      <c r="S236" s="5"/>
      <c r="T236" s="137"/>
      <c r="U236" s="120"/>
      <c r="V236" s="148"/>
      <c r="W236" s="120"/>
      <c r="X236" s="120"/>
      <c r="Y236" s="147"/>
      <c r="Z236" s="148"/>
      <c r="AA236" s="147"/>
      <c r="AB236" s="149"/>
      <c r="AC236" s="150"/>
      <c r="AD236" s="123"/>
      <c r="AE236" s="121"/>
      <c r="AF236" s="248"/>
    </row>
    <row r="237" spans="1:32" x14ac:dyDescent="0.3">
      <c r="A237" s="115"/>
      <c r="B237" s="137"/>
      <c r="C237" s="4"/>
      <c r="D237" s="4"/>
      <c r="E237" s="4"/>
      <c r="F237" s="126"/>
      <c r="G237" s="206"/>
      <c r="H237" s="4"/>
      <c r="I237" s="119" t="str">
        <f t="shared" si="8"/>
        <v>No</v>
      </c>
      <c r="J237" s="137"/>
      <c r="K237" s="123"/>
      <c r="L237" s="4"/>
      <c r="M237" s="4"/>
      <c r="N237" s="211"/>
      <c r="O237" s="137"/>
      <c r="P237" s="4"/>
      <c r="Q237" s="5"/>
      <c r="R237" s="137"/>
      <c r="S237" s="5"/>
      <c r="T237" s="137"/>
      <c r="U237" s="120"/>
      <c r="V237" s="148"/>
      <c r="W237" s="120"/>
      <c r="X237" s="120"/>
      <c r="Y237" s="147"/>
      <c r="Z237" s="148"/>
      <c r="AA237" s="147"/>
      <c r="AB237" s="149"/>
      <c r="AC237" s="150"/>
      <c r="AD237" s="123"/>
      <c r="AE237" s="121"/>
      <c r="AF237" s="248"/>
    </row>
    <row r="238" spans="1:32" x14ac:dyDescent="0.3">
      <c r="A238" s="115"/>
      <c r="B238" s="138"/>
      <c r="C238" s="9"/>
      <c r="D238" s="9"/>
      <c r="E238" s="9"/>
      <c r="F238" s="128"/>
      <c r="G238" s="206"/>
      <c r="H238" s="9"/>
      <c r="I238" s="124" t="str">
        <f t="shared" si="8"/>
        <v>No</v>
      </c>
      <c r="J238" s="138"/>
      <c r="K238" s="237"/>
      <c r="L238" s="4"/>
      <c r="M238" s="4"/>
      <c r="N238" s="117"/>
      <c r="O238" s="138"/>
      <c r="P238" s="9"/>
      <c r="Q238" s="147"/>
      <c r="R238" s="138"/>
      <c r="S238" s="147"/>
      <c r="T238" s="138"/>
      <c r="U238" s="120"/>
      <c r="V238" s="148"/>
      <c r="W238" s="120"/>
      <c r="X238" s="120"/>
      <c r="Y238" s="147"/>
      <c r="Z238" s="148"/>
      <c r="AA238" s="147"/>
      <c r="AB238" s="149"/>
      <c r="AC238" s="150"/>
      <c r="AD238" s="123"/>
      <c r="AE238" s="120"/>
      <c r="AF238" s="248"/>
    </row>
    <row r="239" spans="1:32" ht="15" thickBot="1" x14ac:dyDescent="0.35">
      <c r="A239" s="115"/>
      <c r="B239" s="4"/>
      <c r="C239" s="4"/>
      <c r="D239" s="4"/>
      <c r="E239" s="4"/>
      <c r="F239" s="126"/>
      <c r="G239" s="206"/>
      <c r="H239" s="4"/>
      <c r="I239" s="125" t="str">
        <f t="shared" si="8"/>
        <v>No</v>
      </c>
      <c r="J239" s="158"/>
      <c r="K239" s="237"/>
      <c r="L239" s="4"/>
      <c r="M239" s="4"/>
      <c r="N239" s="213"/>
      <c r="O239" s="158"/>
      <c r="P239" s="159"/>
      <c r="Q239" s="160"/>
      <c r="R239" s="158"/>
      <c r="S239" s="160"/>
      <c r="T239" s="158"/>
      <c r="U239" s="159"/>
      <c r="V239" s="158"/>
      <c r="W239" s="159"/>
      <c r="X239" s="159"/>
      <c r="Y239" s="160"/>
      <c r="Z239" s="158"/>
      <c r="AA239" s="160"/>
      <c r="AB239" s="161"/>
      <c r="AC239" s="162"/>
      <c r="AD239" s="123"/>
      <c r="AE239" s="4"/>
      <c r="AF239" s="248"/>
    </row>
    <row r="240" spans="1:32" x14ac:dyDescent="0.3">
      <c r="A240" s="250"/>
      <c r="B240" s="251"/>
      <c r="C240" s="251"/>
      <c r="D240" s="251"/>
      <c r="E240" s="251"/>
      <c r="F240" s="251"/>
      <c r="G240" s="251"/>
      <c r="H240" s="251"/>
      <c r="I240" s="251"/>
      <c r="J240" s="251"/>
      <c r="K240" s="251"/>
      <c r="L240" s="251"/>
      <c r="M240" s="251"/>
      <c r="N240" s="251"/>
      <c r="O240" s="251"/>
      <c r="P240" s="251"/>
      <c r="Q240" s="251"/>
      <c r="R240" s="251"/>
      <c r="S240" s="251"/>
      <c r="T240" s="251"/>
      <c r="U240" s="251"/>
      <c r="V240" s="251"/>
      <c r="W240" s="251"/>
      <c r="X240" s="251"/>
      <c r="Y240" s="251"/>
      <c r="Z240" s="251"/>
      <c r="AA240" s="251"/>
      <c r="AB240" s="251"/>
      <c r="AC240" s="251"/>
      <c r="AD240" s="251"/>
      <c r="AE240" s="251"/>
      <c r="AF240" s="248"/>
    </row>
    <row r="241" spans="1:32" ht="15" thickBot="1" x14ac:dyDescent="0.35">
      <c r="A241" s="252"/>
      <c r="B241" s="253"/>
      <c r="C241" s="253"/>
      <c r="D241" s="253"/>
      <c r="E241" s="253"/>
      <c r="F241" s="253"/>
      <c r="G241" s="253"/>
      <c r="H241" s="253"/>
      <c r="I241" s="253"/>
      <c r="J241" s="253"/>
      <c r="K241" s="253"/>
      <c r="L241" s="253"/>
      <c r="M241" s="253"/>
      <c r="N241" s="253"/>
      <c r="O241" s="253"/>
      <c r="P241" s="253"/>
      <c r="Q241" s="253"/>
      <c r="R241" s="253"/>
      <c r="S241" s="253"/>
      <c r="T241" s="253"/>
      <c r="U241" s="253"/>
      <c r="V241" s="253"/>
      <c r="W241" s="253"/>
      <c r="X241" s="253"/>
      <c r="Y241" s="253"/>
      <c r="Z241" s="253"/>
      <c r="AA241" s="253"/>
      <c r="AB241" s="253"/>
      <c r="AC241" s="253"/>
      <c r="AD241" s="253"/>
      <c r="AE241" s="253"/>
      <c r="AF241" s="249"/>
    </row>
  </sheetData>
  <mergeCells count="13">
    <mergeCell ref="T4:U4"/>
    <mergeCell ref="V4:Y4"/>
    <mergeCell ref="H2:AE2"/>
    <mergeCell ref="AF1:AF241"/>
    <mergeCell ref="A240:AE241"/>
    <mergeCell ref="Z4:AA4"/>
    <mergeCell ref="AD4:AE4"/>
    <mergeCell ref="B1:AE1"/>
    <mergeCell ref="E2:F2"/>
    <mergeCell ref="E3:F3"/>
    <mergeCell ref="O4:Q4"/>
    <mergeCell ref="R4:S4"/>
    <mergeCell ref="J4:N4"/>
  </mergeCells>
  <dataValidations count="2">
    <dataValidation type="list" allowBlank="1" showInputMessage="1" showErrorMessage="1" sqref="G6:G239 AD6:AD239" xr:uid="{00000000-0002-0000-0300-000000000000}">
      <formula1>$BM$1:$BM$2</formula1>
    </dataValidation>
    <dataValidation type="list" allowBlank="1" showInputMessage="1" showErrorMessage="1" sqref="B1:B1048576" xr:uid="{00000000-0002-0000-0300-000001000000}">
      <formula1>"January, February, March, April, May, June, July, August, September, October, November, December"</formula1>
    </dataValidation>
  </dataValidations>
  <pageMargins left="0.7" right="0.7" top="0.75" bottom="0.75" header="0.3" footer="0.3"/>
  <pageSetup paperSize="5"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FBD"/>
  </sheetPr>
  <dimension ref="A1:AF68"/>
  <sheetViews>
    <sheetView showGridLines="0" topLeftCell="A52" zoomScaleNormal="100" workbookViewId="0">
      <selection activeCell="J54" sqref="J54"/>
    </sheetView>
  </sheetViews>
  <sheetFormatPr defaultColWidth="9.109375" defaultRowHeight="13.8" x14ac:dyDescent="0.3"/>
  <cols>
    <col min="1" max="1" width="2.33203125" style="10" customWidth="1"/>
    <col min="2" max="2" width="11" style="10" customWidth="1"/>
    <col min="3" max="4" width="10" style="10" customWidth="1"/>
    <col min="5" max="5" width="8.6640625" style="10" customWidth="1"/>
    <col min="6" max="6" width="12.5546875" style="10" customWidth="1"/>
    <col min="7" max="11" width="10" style="10" customWidth="1"/>
    <col min="12" max="12" width="4" style="10" customWidth="1"/>
    <col min="13" max="14" width="3.44140625" style="10" customWidth="1"/>
    <col min="15" max="19" width="10" style="10" customWidth="1"/>
    <col min="20" max="20" width="11.6640625" style="10" customWidth="1"/>
    <col min="21" max="24" width="10" style="10" customWidth="1"/>
    <col min="25" max="27" width="9.109375" style="10"/>
    <col min="28" max="28" width="10" style="10" customWidth="1"/>
    <col min="29" max="30" width="9.109375" style="10"/>
    <col min="31" max="31" width="6.109375" style="10" customWidth="1"/>
    <col min="32" max="32" width="2.5546875" style="10" customWidth="1"/>
    <col min="33" max="16384" width="9.109375" style="10"/>
  </cols>
  <sheetData>
    <row r="1" spans="1:32" ht="21.6" thickBot="1" x14ac:dyDescent="0.45">
      <c r="A1" s="270" t="s">
        <v>69</v>
      </c>
      <c r="B1" s="271"/>
      <c r="C1" s="271"/>
      <c r="D1" s="271"/>
      <c r="E1" s="271"/>
      <c r="F1" s="271"/>
      <c r="G1" s="271"/>
      <c r="H1" s="271"/>
      <c r="I1" s="271"/>
      <c r="J1" s="271"/>
      <c r="K1" s="271"/>
      <c r="L1" s="271"/>
      <c r="M1" s="271"/>
      <c r="N1" s="271"/>
      <c r="O1" s="271"/>
      <c r="P1" s="271"/>
      <c r="Q1" s="271"/>
      <c r="R1" s="271"/>
      <c r="S1" s="271"/>
      <c r="T1" s="271"/>
      <c r="U1" s="271"/>
      <c r="V1" s="271"/>
      <c r="W1" s="271"/>
      <c r="X1" s="271"/>
      <c r="Y1" s="272"/>
      <c r="Z1" s="36"/>
      <c r="AA1" s="36"/>
      <c r="AB1" s="36"/>
      <c r="AC1" s="36"/>
      <c r="AD1" s="36"/>
      <c r="AE1" s="36"/>
      <c r="AF1" s="37"/>
    </row>
    <row r="2" spans="1:32" ht="13.5" customHeight="1" thickBot="1" x14ac:dyDescent="0.4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13"/>
      <c r="AB2" s="13"/>
      <c r="AC2" s="13"/>
      <c r="AD2" s="13"/>
      <c r="AE2" s="13"/>
      <c r="AF2" s="38"/>
    </row>
    <row r="3" spans="1:32" ht="13.5" customHeight="1" thickBot="1" x14ac:dyDescent="0.35">
      <c r="B3" s="273" t="s">
        <v>150</v>
      </c>
      <c r="C3" s="274"/>
      <c r="D3" s="274"/>
      <c r="E3" s="274"/>
      <c r="F3" s="274"/>
      <c r="G3" s="274"/>
      <c r="H3" s="274"/>
      <c r="I3" s="274"/>
      <c r="J3" s="274"/>
      <c r="K3" s="275"/>
      <c r="L3" s="190"/>
      <c r="M3" s="190"/>
      <c r="N3" s="190"/>
      <c r="O3" s="276" t="s">
        <v>218</v>
      </c>
      <c r="P3" s="277"/>
      <c r="Q3" s="277"/>
      <c r="R3" s="277"/>
      <c r="S3" s="277"/>
      <c r="T3" s="277"/>
      <c r="U3" s="277"/>
      <c r="V3" s="277"/>
      <c r="W3" s="277"/>
      <c r="X3" s="278"/>
      <c r="Y3" s="13"/>
      <c r="Z3" s="13"/>
      <c r="AA3" s="13"/>
      <c r="AB3" s="13"/>
      <c r="AC3" s="13"/>
      <c r="AD3" s="13"/>
      <c r="AE3" s="13"/>
      <c r="AF3" s="38"/>
    </row>
    <row r="4" spans="1:32" ht="29.25" customHeight="1" thickBot="1" x14ac:dyDescent="0.35">
      <c r="A4" s="39"/>
      <c r="B4" s="94" t="s">
        <v>1</v>
      </c>
      <c r="C4" s="74" t="s">
        <v>10</v>
      </c>
      <c r="D4" s="215" t="s">
        <v>143</v>
      </c>
      <c r="E4" s="220" t="s">
        <v>70</v>
      </c>
      <c r="F4" s="95" t="s">
        <v>274</v>
      </c>
      <c r="G4" s="96" t="s">
        <v>12</v>
      </c>
      <c r="H4" s="97" t="s">
        <v>134</v>
      </c>
      <c r="I4" s="98" t="s">
        <v>316</v>
      </c>
      <c r="J4" s="192" t="s">
        <v>329</v>
      </c>
      <c r="K4" s="99" t="s">
        <v>67</v>
      </c>
      <c r="L4" s="81"/>
      <c r="M4" s="82"/>
      <c r="N4" s="82"/>
      <c r="O4" s="72" t="s">
        <v>1</v>
      </c>
      <c r="P4" s="73" t="s">
        <v>74</v>
      </c>
      <c r="Q4" s="74" t="s">
        <v>10</v>
      </c>
      <c r="R4" s="75" t="s">
        <v>143</v>
      </c>
      <c r="S4" s="76" t="s">
        <v>70</v>
      </c>
      <c r="T4" s="77" t="s">
        <v>274</v>
      </c>
      <c r="U4" s="78" t="s">
        <v>12</v>
      </c>
      <c r="V4" s="79" t="s">
        <v>134</v>
      </c>
      <c r="W4" s="80" t="s">
        <v>316</v>
      </c>
      <c r="X4" s="239" t="s">
        <v>329</v>
      </c>
      <c r="Y4" s="49" t="s">
        <v>76</v>
      </c>
      <c r="Z4" s="13"/>
      <c r="AA4" s="13"/>
      <c r="AB4" s="13"/>
      <c r="AC4" s="13"/>
      <c r="AD4" s="13"/>
      <c r="AE4" s="13"/>
      <c r="AF4" s="38"/>
    </row>
    <row r="5" spans="1:32" ht="14.4" thickBot="1" x14ac:dyDescent="0.35">
      <c r="A5" s="39"/>
      <c r="B5" s="41" t="s">
        <v>115</v>
      </c>
      <c r="C5" s="61">
        <f>COUNTIFS(Table2[Was the infection an HAI? (Y/N)], "Yes",Table2[Month],"January",Table2[COVID-19],"X")+COUNTIFS(Table2[Was the infection an HAI? (Y/N)], "Yes",Table2[Month],"January",Table2[Pneumonia],"X")+COUNTIFS(Table2[Was the infection an HAI? (Y/N)], "Yes",Table2[Month],"January",Table2[Lower Respiratory Tract Infection],"X")+COUNTIFS(Table2[Was the infection an HAI? (Y/N)], "Yes", Table2[Month],"January",Table2[Upper Respiratory Tract Infection],"X")+COUNTIFS(Table2[Was the infection an HAI? (Y/N)], "Yes", Table2[Month],"January",Table2[Influenza],"X")</f>
        <v>0</v>
      </c>
      <c r="D5" s="221">
        <f>COUNTIFS(Table2[Was the infection an HAI? (Y/N)], "Yes",Table2[Month],"January",Table2[Gastroenteritis],"X")+COUNTIFS(Table2[Was the infection an HAI? (Y/N)], "Yes",Table2[Month],"January",Table2[Norovirus],"X")+COUNTIFS(Table2[Was the infection an HAI? (Y/N)], "Yes",Table2[Month],"January",Table2[C. difficile],"X")</f>
        <v>0</v>
      </c>
      <c r="E5" s="214">
        <f>COUNTIFS(Table2[Was the infection an HAI? (Y/N)], "Yes",Table2[Month],"January",Table2[CAUTI (catheter-associated UTI)],"X")+COUNTIFS(Table2[Was the infection an HAI? (Y/N)], "Yes",Table2[Month],"January",Table2[UTI - NO indwelling catheter],"X")</f>
        <v>0</v>
      </c>
      <c r="F5" s="61">
        <f>COUNTIFS(Table2[Was the infection an HAI? (Y/N)], "Yes",Table2[Month],"January",Table2[Conjunctivitis],"X")+COUNTIFS(Table2[Was the infection an HAI? (Y/N)], "Yes",Table2[Month],"January",Table2[Mouth/Perioral infection],"X")</f>
        <v>0</v>
      </c>
      <c r="G5" s="61">
        <f>COUNTIFS(Table2[Was the infection an HAI? (Y/N)], "Yes",Table2[Month],"January",Table2[Cellulitis/Soft Tissue/Wound],"X")+COUNTIFS(Table2[Was the infection an HAI? (Y/N)], "Yes",Table2[Month],"January",Table2[Fungal],"X")+COUNTIFS(Table2[Was the infection an HAI? (Y/N)], "Yes",Table2[Month],"January",Table2[Herpes virus],"X")+COUNTIFS(Table2[Was the infection an HAI? (Y/N)], "Yes",Table2[Month],"January",Table2[Scabies],"X")</f>
        <v>0</v>
      </c>
      <c r="H5" s="61">
        <f>COUNTIFS(Table2[Was the infection an HAI? (Y/N)], "Yes",Table2[Month],"January",Table2[Primary Bloodstream Infection],"X")+COUNTIFS(Table2[Was the infection an HAI? (Y/N)], "Yes",Table2[Month],"January",Table2[Unexplained febrile episode],"X")</f>
        <v>0</v>
      </c>
      <c r="I5" s="61">
        <f>COUNTIFS(Table2[Was the infection an HAI? (Y/N)], "Yes",Table2[Month],"January",Table2[Optional 1],"X")</f>
        <v>0</v>
      </c>
      <c r="J5" s="61">
        <f>COUNTIFS(Table2[Was the infection an HAI? (Y/N)], "Yes",Table2[Month],"January",Table2[Optional 2],"X")</f>
        <v>0</v>
      </c>
      <c r="K5" s="50">
        <f t="shared" ref="K5:K16" si="0">SUM(C5:J5)</f>
        <v>0</v>
      </c>
      <c r="L5" s="13"/>
      <c r="M5" s="13"/>
      <c r="N5" s="13"/>
      <c r="O5" s="41" t="s">
        <v>115</v>
      </c>
      <c r="P5" s="223"/>
      <c r="Q5" s="222" t="str">
        <f t="shared" ref="Q5:Q16" si="1">IF(C5,(C5/P5)*1000,"--")</f>
        <v>--</v>
      </c>
      <c r="R5" s="42" t="str">
        <f t="shared" ref="R5:R16" si="2">IF(D5,(D5/P5)*1000,"--")</f>
        <v>--</v>
      </c>
      <c r="S5" s="42" t="str">
        <f t="shared" ref="S5:S16" si="3">IF(E5,(E5/P5)*1000,"--")</f>
        <v>--</v>
      </c>
      <c r="T5" s="42" t="str">
        <f t="shared" ref="T5:T16" si="4">IF(F5,(F5/P5)*1000,"--")</f>
        <v>--</v>
      </c>
      <c r="U5" s="42" t="str">
        <f t="shared" ref="U5:U16" si="5">IF(G5,(G5/P5)*1000,"--")</f>
        <v>--</v>
      </c>
      <c r="V5" s="42" t="str">
        <f t="shared" ref="V5:V16" si="6">IF(H5,(H5/P5)*1000,"--")</f>
        <v>--</v>
      </c>
      <c r="W5" s="42" t="str">
        <f t="shared" ref="W5:W16" si="7">IF(I5,(I5/P5)*1000,"--")</f>
        <v>--</v>
      </c>
      <c r="X5" s="43" t="str">
        <f t="shared" ref="X5:X16" si="8">IF(J5,(J5/P5)*1000,"--")</f>
        <v>--</v>
      </c>
      <c r="Y5" s="44"/>
      <c r="Z5" s="13"/>
      <c r="AA5" s="13"/>
      <c r="AB5" s="13"/>
      <c r="AC5" s="13"/>
      <c r="AD5" s="13"/>
      <c r="AE5" s="13"/>
      <c r="AF5" s="38"/>
    </row>
    <row r="6" spans="1:32" ht="14.4" thickBot="1" x14ac:dyDescent="0.35">
      <c r="A6" s="39"/>
      <c r="B6" s="45" t="s">
        <v>110</v>
      </c>
      <c r="C6" s="62">
        <f>COUNTIFS(Table2[Was the infection an HAI? (Y/N)], "Yes",Table2[Month],"February",Table2[COVID-19],"X")+COUNTIFS(Table2[Was the infection an HAI? (Y/N)], "Yes",Table2[Month],"February",Table2[Pneumonia],"X")+COUNTIFS(Table2[Was the infection an HAI? (Y/N)], "Yes",Table2[Month],"February",Table2[Lower Respiratory Tract Infection],"X")+COUNTIFS(Table2[Was the infection an HAI? (Y/N)],"Yes", Table2[Month],"February", Table2[Upper Respiratory Tract Infection],"X")+COUNTIFS(Table2[Was the infection an HAI? (Y/N)], "Yes", Table2[Month],"February",Table2[Influenza],"X")</f>
        <v>0</v>
      </c>
      <c r="D6" s="62">
        <f>COUNTIFS(Table2[Was the infection an HAI? (Y/N)], "Yes",Table2[Month],"February",Table2[Gastroenteritis],"X")+COUNTIFS(Table2[Was the infection an HAI? (Y/N)], "Yes",Table2[Month],"February",Table2[Norovirus],"X")+COUNTIFS(Table2[Was the infection an HAI? (Y/N)], "Yes",Table2[Month],"February",Table2[C. difficile],"X")</f>
        <v>0</v>
      </c>
      <c r="E6" s="216">
        <f>COUNTIFS(Table2[Was the infection an HAI? (Y/N)], "Yes",Table2[Month],"February",Table2[CAUTI (catheter-associated UTI)],"X")+COUNTIFS(Table2[Was the infection an HAI? (Y/N)], "Yes",Table2[Month],"February",Table2[UTI - NO indwelling catheter],"X")</f>
        <v>0</v>
      </c>
      <c r="F6" s="62">
        <f>COUNTIFS(Table2[Was the infection an HAI? (Y/N)], "Yes",Table2[Month],"February",Table2[Conjunctivitis],"X")+COUNTIFS(Table2[Was the infection an HAI? (Y/N)], "Yes",Table2[Month],"February",Table2[Mouth/Perioral infection],"X")</f>
        <v>0</v>
      </c>
      <c r="G6" s="62">
        <f>COUNTIFS(Table2[Was the infection an HAI? (Y/N)], "Yes",Table2[Month],"February",Table2[Cellulitis/Soft Tissue/Wound],"X")+COUNTIFS(Table2[Was the infection an HAI? (Y/N)], "Yes",Table2[Month],"February",Table2[Fungal],"X")+COUNTIFS(Table2[Was the infection an HAI? (Y/N)], "Yes",Table2[Month],"February",Table2[Herpes virus],"X")+COUNTIFS(Table2[Was the infection an HAI? (Y/N)], "Yes",Table2[Month],"February",Table2[Scabies],"X")</f>
        <v>0</v>
      </c>
      <c r="H6" s="62">
        <f>COUNTIFS(Table2[Was the infection an HAI? (Y/N)], "Yes",Table2[Month],"February",Table2[Primary Bloodstream Infection],"X")+COUNTIFS(Table2[Was the infection an HAI? (Y/N)], "Yes",Table2[Month],"February",Table2[Unexplained febrile episode],"X")</f>
        <v>0</v>
      </c>
      <c r="I6" s="62">
        <f>COUNTIFS(Table2[Was the infection an HAI? (Y/N)], "Yes",Table2[Month],"February",Table2[Optional 1],"X")</f>
        <v>0</v>
      </c>
      <c r="J6" s="62">
        <f>COUNTIFS(Table2[Was the infection an HAI? (Y/N)], "Yes",Table2[Month],"February",Table2[Optional 2],"X")</f>
        <v>0</v>
      </c>
      <c r="K6" s="51">
        <f t="shared" si="0"/>
        <v>0</v>
      </c>
      <c r="L6" s="13"/>
      <c r="M6" s="13"/>
      <c r="N6" s="13"/>
      <c r="O6" s="45" t="s">
        <v>110</v>
      </c>
      <c r="P6" s="223"/>
      <c r="Q6" s="222" t="str">
        <f t="shared" si="1"/>
        <v>--</v>
      </c>
      <c r="R6" s="42" t="str">
        <f t="shared" si="2"/>
        <v>--</v>
      </c>
      <c r="S6" s="42" t="str">
        <f t="shared" si="3"/>
        <v>--</v>
      </c>
      <c r="T6" s="42" t="str">
        <f t="shared" si="4"/>
        <v>--</v>
      </c>
      <c r="U6" s="42" t="str">
        <f t="shared" si="5"/>
        <v>--</v>
      </c>
      <c r="V6" s="42" t="str">
        <f t="shared" si="6"/>
        <v>--</v>
      </c>
      <c r="W6" s="42" t="str">
        <f t="shared" si="7"/>
        <v>--</v>
      </c>
      <c r="X6" s="43" t="str">
        <f t="shared" si="8"/>
        <v>--</v>
      </c>
      <c r="Y6" s="13"/>
      <c r="Z6" s="13"/>
      <c r="AA6" s="13"/>
      <c r="AB6" s="13"/>
      <c r="AC6" s="13"/>
      <c r="AD6" s="13"/>
      <c r="AE6" s="13"/>
      <c r="AF6" s="38"/>
    </row>
    <row r="7" spans="1:32" ht="14.4" thickBot="1" x14ac:dyDescent="0.35">
      <c r="A7" s="39"/>
      <c r="B7" s="45" t="s">
        <v>111</v>
      </c>
      <c r="C7" s="62">
        <f>COUNTIFS(Table2[Was the infection an HAI? (Y/N)], "Yes",Table2[Month],"March",Table2[COVID-19],"X")+COUNTIFS(Table2[Was the infection an HAI? (Y/N)], "Yes",Table2[Month],"March",Table2[Pneumonia],"X")+COUNTIFS(Table2[Was the infection an HAI? (Y/N)], "Yes",Table2[Month],"March",Table2[Lower Respiratory Tract Infection],"X")+COUNTIFS(Table2[Was the infection an HAI? (Y/N)],"Yes", Table2[Month],"March", Table2[Upper Respiratory Tract Infection],"X")+COUNTIFS(Table2[Was the infection an HAI? (Y/N)], "Yes", Table2[Month],"March",Table2[Influenza],"X")</f>
        <v>0</v>
      </c>
      <c r="D7" s="62">
        <f>COUNTIFS(Table2[Was the infection an HAI? (Y/N)], "Yes",Table2[Month],"March",Table2[Gastroenteritis],"X")+COUNTIFS(Table2[Was the infection an HAI? (Y/N)], "Yes",Table2[Month],"March",Table2[Norovirus],"X")+COUNTIFS(Table2[Was the infection an HAI? (Y/N)], "Yes",Table2[Month],"March",Table2[C. difficile],"X")</f>
        <v>0</v>
      </c>
      <c r="E7" s="216">
        <f>COUNTIFS(Table2[Was the infection an HAI? (Y/N)], "Yes",Table2[Month],"March",Table2[CAUTI (catheter-associated UTI)],"X")+COUNTIFS(Table2[Was the infection an HAI? (Y/N)], "Yes",Table2[Month],"March",Table2[UTI - NO indwelling catheter],"X")</f>
        <v>0</v>
      </c>
      <c r="F7" s="62">
        <f>COUNTIFS(Table2[Was the infection an HAI? (Y/N)], "Yes",Table2[Month],"March",Table2[Conjunctivitis],"X")+COUNTIFS(Table2[Was the infection an HAI? (Y/N)], "Yes",Table2[Month],"March",Table2[Mouth/Perioral infection],"X")</f>
        <v>0</v>
      </c>
      <c r="G7" s="62">
        <f>COUNTIFS(Table2[Was the infection an HAI? (Y/N)], "Yes",Table2[Month],"March",Table2[Cellulitis/Soft Tissue/Wound],"X")+COUNTIFS(Table2[Was the infection an HAI? (Y/N)], "Yes",Table2[Month],"March",Table2[Fungal],"X")+COUNTIFS(Table2[Was the infection an HAI? (Y/N)], "Yes",Table2[Month],"March",Table2[Herpes virus],"X")+COUNTIFS(Table2[Was the infection an HAI? (Y/N)], "Yes",Table2[Month],"March",Table2[Scabies],"X")</f>
        <v>0</v>
      </c>
      <c r="H7" s="62">
        <f>COUNTIFS(Table2[Was the infection an HAI? (Y/N)], "Yes",Table2[Month],"March",Table2[Primary Bloodstream Infection],"X")+COUNTIFS(Table2[Was the infection an HAI? (Y/N)], "Yes",Table2[Month],"March",Table2[Unexplained febrile episode],"X")</f>
        <v>0</v>
      </c>
      <c r="I7" s="62">
        <f>COUNTIFS(Table2[Was the infection an HAI? (Y/N)], "Yes",Table2[Month],"March",Table2[Optional 1],"X")</f>
        <v>0</v>
      </c>
      <c r="J7" s="62">
        <f>COUNTIFS(Table2[Was the infection an HAI? (Y/N)], "Yes",Table2[Month],"March",Table2[Optional 2],"X")</f>
        <v>0</v>
      </c>
      <c r="K7" s="51">
        <f t="shared" si="0"/>
        <v>0</v>
      </c>
      <c r="L7" s="13"/>
      <c r="M7" s="13"/>
      <c r="N7" s="13"/>
      <c r="O7" s="45" t="s">
        <v>111</v>
      </c>
      <c r="P7" s="223"/>
      <c r="Q7" s="222" t="str">
        <f t="shared" si="1"/>
        <v>--</v>
      </c>
      <c r="R7" s="42" t="str">
        <f t="shared" si="2"/>
        <v>--</v>
      </c>
      <c r="S7" s="42" t="str">
        <f t="shared" si="3"/>
        <v>--</v>
      </c>
      <c r="T7" s="42" t="str">
        <f t="shared" si="4"/>
        <v>--</v>
      </c>
      <c r="U7" s="42" t="str">
        <f t="shared" si="5"/>
        <v>--</v>
      </c>
      <c r="V7" s="42" t="str">
        <f t="shared" si="6"/>
        <v>--</v>
      </c>
      <c r="W7" s="42" t="str">
        <f t="shared" si="7"/>
        <v>--</v>
      </c>
      <c r="X7" s="43" t="str">
        <f t="shared" si="8"/>
        <v>--</v>
      </c>
      <c r="Y7" s="13"/>
      <c r="Z7" s="13"/>
      <c r="AA7" s="13"/>
      <c r="AB7" s="13"/>
      <c r="AC7" s="13"/>
      <c r="AD7" s="13"/>
      <c r="AE7" s="13"/>
      <c r="AF7" s="38"/>
    </row>
    <row r="8" spans="1:32" ht="14.4" thickBot="1" x14ac:dyDescent="0.35">
      <c r="A8" s="39"/>
      <c r="B8" s="45" t="s">
        <v>146</v>
      </c>
      <c r="C8" s="62">
        <f>COUNTIFS(Table2[Was the infection an HAI? (Y/N)], "Yes",Table2[Month],"April",Table2[COVID-19],"X")+COUNTIFS(Table2[Was the infection an HAI? (Y/N)], "Yes",Table2[Month],"April",Table2[Pneumonia],"X")+COUNTIFS(Table2[Was the infection an HAI? (Y/N)], "Yes",Table2[Month],"April",Table2[Lower Respiratory Tract Infection],"X")+COUNTIFS(Table2[Was the infection an HAI? (Y/N)],"Yes", Table2[Month],"April", Table2[Upper Respiratory Tract Infection],"X")+COUNTIFS(Table2[Was the infection an HAI? (Y/N)], "Yes", Table2[Month],"April",Table2[Influenza],"X")</f>
        <v>0</v>
      </c>
      <c r="D8" s="62">
        <f>COUNTIFS(Table2[Was the infection an HAI? (Y/N)], "Yes",Table2[Month],"April",Table2[Gastroenteritis],"X")+COUNTIFS(Table2[Was the infection an HAI? (Y/N)], "Yes",Table2[Month],"April",Table2[Norovirus],"X")+COUNTIFS(Table2[Was the infection an HAI? (Y/N)], "Yes",Table2[Month],"April",Table2[C. difficile],"X")</f>
        <v>0</v>
      </c>
      <c r="E8" s="216">
        <f>COUNTIFS(Table2[Was the infection an HAI? (Y/N)], "Yes",Table2[Month],"April",Table2[CAUTI (catheter-associated UTI)],"X")+COUNTIFS(Table2[Was the infection an HAI? (Y/N)], "Yes",Table2[Month],"April",Table2[UTI - NO indwelling catheter],"X")</f>
        <v>0</v>
      </c>
      <c r="F8" s="62">
        <f>COUNTIFS(Table2[Was the infection an HAI? (Y/N)], "Yes",Table2[Month],"April",Table2[Conjunctivitis],"X")+COUNTIFS(Table2[Was the infection an HAI? (Y/N)], "Yes",Table2[Month],"April",Table2[Mouth/Perioral infection],"X")</f>
        <v>0</v>
      </c>
      <c r="G8" s="62">
        <f>COUNTIFS(Table2[Was the infection an HAI? (Y/N)], "Yes",Table2[Month],"April",Table2[Cellulitis/Soft Tissue/Wound],"X")+COUNTIFS(Table2[Was the infection an HAI? (Y/N)], "Yes",Table2[Month],"April",Table2[Fungal],"X")+COUNTIFS(Table2[Was the infection an HAI? (Y/N)], "Yes",Table2[Month],"April",Table2[Herpes virus],"X")+COUNTIFS(Table2[Was the infection an HAI? (Y/N)], "Yes",Table2[Month],"April",Table2[Scabies],"X")</f>
        <v>0</v>
      </c>
      <c r="H8" s="62">
        <f>COUNTIFS(Table2[Was the infection an HAI? (Y/N)], "Yes",Table2[Month],"April",Table2[Primary Bloodstream Infection],"X")+COUNTIFS(Table2[Was the infection an HAI? (Y/N)], "Yes",Table2[Month],"April",Table2[Unexplained febrile episode],"X")</f>
        <v>0</v>
      </c>
      <c r="I8" s="62">
        <f>COUNTIFS(Table2[Was the infection an HAI? (Y/N)], "Yes",Table2[Month],"April",Table2[Optional 1],"X")</f>
        <v>0</v>
      </c>
      <c r="J8" s="62">
        <f>COUNTIFS(Table2[Was the infection an HAI? (Y/N)], "Yes",Table2[Month],"April",Table2[Optional 2],"X")</f>
        <v>0</v>
      </c>
      <c r="K8" s="51">
        <f t="shared" si="0"/>
        <v>0</v>
      </c>
      <c r="L8" s="13"/>
      <c r="M8" s="13"/>
      <c r="N8" s="13"/>
      <c r="O8" s="45" t="s">
        <v>146</v>
      </c>
      <c r="P8" s="223"/>
      <c r="Q8" s="222" t="str">
        <f t="shared" si="1"/>
        <v>--</v>
      </c>
      <c r="R8" s="42" t="str">
        <f t="shared" si="2"/>
        <v>--</v>
      </c>
      <c r="S8" s="42" t="str">
        <f t="shared" si="3"/>
        <v>--</v>
      </c>
      <c r="T8" s="42" t="str">
        <f t="shared" si="4"/>
        <v>--</v>
      </c>
      <c r="U8" s="42" t="str">
        <f t="shared" si="5"/>
        <v>--</v>
      </c>
      <c r="V8" s="42" t="str">
        <f t="shared" si="6"/>
        <v>--</v>
      </c>
      <c r="W8" s="42" t="str">
        <f t="shared" si="7"/>
        <v>--</v>
      </c>
      <c r="X8" s="43" t="str">
        <f t="shared" si="8"/>
        <v>--</v>
      </c>
      <c r="Y8" s="13"/>
      <c r="Z8" s="13"/>
      <c r="AA8" s="13"/>
      <c r="AB8" s="13"/>
      <c r="AC8" s="13"/>
      <c r="AD8" s="13"/>
      <c r="AE8" s="13"/>
      <c r="AF8" s="38"/>
    </row>
    <row r="9" spans="1:32" ht="14.4" thickBot="1" x14ac:dyDescent="0.35">
      <c r="A9" s="39"/>
      <c r="B9" s="45" t="s">
        <v>35</v>
      </c>
      <c r="C9" s="62">
        <f>COUNTIFS(Table2[Was the infection an HAI? (Y/N)], "Yes",Table2[Month],"May",Table2[COVID-19],"X")+COUNTIFS(Table2[Was the infection an HAI? (Y/N)], "Yes",Table2[Month],"May",Table2[Pneumonia],"X")+COUNTIFS(Table2[Was the infection an HAI? (Y/N)], "Yes",Table2[Month],"May",Table2[Lower Respiratory Tract Infection],"X")+COUNTIFS(Table2[Was the infection an HAI? (Y/N)],"Yes", Table2[Month],"May", Table2[Upper Respiratory Tract Infection],"X")+COUNTIFS(Table2[Was the infection an HAI? (Y/N)], "Yes", Table2[Month],"May",Table2[Influenza],"X")</f>
        <v>0</v>
      </c>
      <c r="D9" s="62">
        <f>COUNTIFS(Table2[Was the infection an HAI? (Y/N)], "Yes",Table2[Month],"May",Table2[Gastroenteritis],"X")+COUNTIFS(Table2[Was the infection an HAI? (Y/N)], "Yes",Table2[Month],"May",Table2[Norovirus],"X")+COUNTIFS(Table2[Was the infection an HAI? (Y/N)], "Yes",Table2[Month],"May",Table2[C. difficile],"X")</f>
        <v>0</v>
      </c>
      <c r="E9" s="216">
        <f>COUNTIFS(Table2[Was the infection an HAI? (Y/N)], "Yes",Table2[Month],"May",Table2[CAUTI (catheter-associated UTI)],"X")+COUNTIFS(Table2[Was the infection an HAI? (Y/N)], "Yes",Table2[Month],"May",Table2[UTI - NO indwelling catheter],"X")</f>
        <v>0</v>
      </c>
      <c r="F9" s="62">
        <f>COUNTIFS(Table2[Was the infection an HAI? (Y/N)], "Yes",Table2[Month],"May",Table2[Conjunctivitis],"X")+COUNTIFS(Table2[Was the infection an HAI? (Y/N)], "Yes",Table2[Month],"May",Table2[Mouth/Perioral infection],"X")</f>
        <v>0</v>
      </c>
      <c r="G9" s="62">
        <f>COUNTIFS(Table2[Was the infection an HAI? (Y/N)], "Yes",Table2[Month],"May",Table2[Cellulitis/Soft Tissue/Wound],"X")+COUNTIFS(Table2[Was the infection an HAI? (Y/N)], "Yes",Table2[Month],"May",Table2[Fungal],"X")+COUNTIFS(Table2[Was the infection an HAI? (Y/N)], "Yes",Table2[Month],"May",Table2[Herpes virus],"X")+COUNTIFS(Table2[Was the infection an HAI? (Y/N)], "Yes",Table2[Month],"May",Table2[Scabies],"X")</f>
        <v>0</v>
      </c>
      <c r="H9" s="62">
        <f>COUNTIFS(Table2[Was the infection an HAI? (Y/N)], "Yes",Table2[Month],"May",Table2[Primary Bloodstream Infection],"X")+COUNTIFS(Table2[Was the infection an HAI? (Y/N)], "Yes",Table2[Month],"May",Table2[Unexplained febrile episode],"X")</f>
        <v>0</v>
      </c>
      <c r="I9" s="62">
        <f>COUNTIFS(Table2[Was the infection an HAI? (Y/N)], "Yes",Table2[Month],"May",Table2[Optional 1],"X")</f>
        <v>0</v>
      </c>
      <c r="J9" s="62">
        <f>COUNTIFS(Table2[Was the infection an HAI? (Y/N)], "Yes",Table2[Month],"May",Table2[Optional 2],"X")</f>
        <v>0</v>
      </c>
      <c r="K9" s="51">
        <f t="shared" si="0"/>
        <v>0</v>
      </c>
      <c r="L9" s="13"/>
      <c r="M9" s="13"/>
      <c r="N9" s="13"/>
      <c r="O9" s="45" t="s">
        <v>35</v>
      </c>
      <c r="P9" s="223"/>
      <c r="Q9" s="222" t="str">
        <f t="shared" si="1"/>
        <v>--</v>
      </c>
      <c r="R9" s="42" t="str">
        <f t="shared" si="2"/>
        <v>--</v>
      </c>
      <c r="S9" s="42" t="str">
        <f t="shared" si="3"/>
        <v>--</v>
      </c>
      <c r="T9" s="42" t="str">
        <f t="shared" si="4"/>
        <v>--</v>
      </c>
      <c r="U9" s="42" t="str">
        <f t="shared" si="5"/>
        <v>--</v>
      </c>
      <c r="V9" s="42" t="str">
        <f t="shared" si="6"/>
        <v>--</v>
      </c>
      <c r="W9" s="42" t="str">
        <f t="shared" si="7"/>
        <v>--</v>
      </c>
      <c r="X9" s="43" t="str">
        <f t="shared" si="8"/>
        <v>--</v>
      </c>
      <c r="Y9" s="13"/>
      <c r="Z9" s="13"/>
      <c r="AA9" s="13"/>
      <c r="AB9" s="13"/>
      <c r="AC9" s="13"/>
      <c r="AD9" s="13"/>
      <c r="AE9" s="13"/>
      <c r="AF9" s="38"/>
    </row>
    <row r="10" spans="1:32" ht="14.4" thickBot="1" x14ac:dyDescent="0.35">
      <c r="A10" s="39"/>
      <c r="B10" s="45" t="s">
        <v>112</v>
      </c>
      <c r="C10" s="62">
        <f>COUNTIFS(Table2[Was the infection an HAI? (Y/N)], "Yes",Table2[Month],"June",Table2[COVID-19],"X")+COUNTIFS(Table2[Was the infection an HAI? (Y/N)], "Yes",Table2[Month],"June",Table2[Pneumonia],"X")+COUNTIFS(Table2[Was the infection an HAI? (Y/N)], "Yes",Table2[Month],"June",Table2[Lower Respiratory Tract Infection],"X")+COUNTIFS(Table2[Was the infection an HAI? (Y/N)],"Yes", Table2[Month],"June", Table2[Upper Respiratory Tract Infection],"X")+COUNTIFS(Table2[Was the infection an HAI? (Y/N)], "Yes", Table2[Month],"June",Table2[Influenza],"X")</f>
        <v>0</v>
      </c>
      <c r="D10" s="62">
        <f>COUNTIFS(Table2[Was the infection an HAI? (Y/N)], "Yes",Table2[Month],"June",Table2[Gastroenteritis],"X")+COUNTIFS(Table2[Was the infection an HAI? (Y/N)], "Yes",Table2[Month],"June",Table2[Norovirus],"X")+COUNTIFS(Table2[Was the infection an HAI? (Y/N)], "Yes",Table2[Month],"June",Table2[C. difficile],"X")</f>
        <v>0</v>
      </c>
      <c r="E10" s="216">
        <f>COUNTIFS(Table2[Was the infection an HAI? (Y/N)], "Yes",Table2[Month],"June",Table2[CAUTI (catheter-associated UTI)],"X")+COUNTIFS(Table2[Was the infection an HAI? (Y/N)], "Yes",Table2[Month],"June",Table2[UTI - NO indwelling catheter],"X")</f>
        <v>0</v>
      </c>
      <c r="F10" s="62">
        <f>COUNTIFS(Table2[Was the infection an HAI? (Y/N)], "Yes",Table2[Month],"June",Table2[Conjunctivitis],"X")+COUNTIFS(Table2[Was the infection an HAI? (Y/N)], "Yes",Table2[Month],"June",Table2[Mouth/Perioral infection],"X")</f>
        <v>0</v>
      </c>
      <c r="G10" s="62">
        <f>COUNTIFS(Table2[Was the infection an HAI? (Y/N)], "Yes",Table2[Month],"June",Table2[Cellulitis/Soft Tissue/Wound],"X")+COUNTIFS(Table2[Was the infection an HAI? (Y/N)], "Yes",Table2[Month],"June",Table2[Fungal],"X")+COUNTIFS(Table2[Was the infection an HAI? (Y/N)], "Yes",Table2[Month],"June",Table2[Herpes virus],"X")+COUNTIFS(Table2[Was the infection an HAI? (Y/N)], "Yes",Table2[Month],"June",Table2[Scabies],"X")</f>
        <v>0</v>
      </c>
      <c r="H10" s="62">
        <f>COUNTIFS(Table2[Was the infection an HAI? (Y/N)], "Yes",Table2[Month],"June",Table2[Primary Bloodstream Infection],"X")+COUNTIFS(Table2[Was the infection an HAI? (Y/N)], "Yes",Table2[Month],"June",Table2[Unexplained febrile episode],"X")</f>
        <v>0</v>
      </c>
      <c r="I10" s="62">
        <f>COUNTIFS(Table2[Was the infection an HAI? (Y/N)], "Yes",Table2[Month],"June",Table2[Optional 1],"X")</f>
        <v>0</v>
      </c>
      <c r="J10" s="62">
        <f>COUNTIFS(Table2[Was the infection an HAI? (Y/N)], "Yes",Table2[Month],"June",Table2[Optional 2],"X")</f>
        <v>0</v>
      </c>
      <c r="K10" s="51">
        <f t="shared" si="0"/>
        <v>0</v>
      </c>
      <c r="L10" s="13"/>
      <c r="M10" s="13"/>
      <c r="N10" s="13"/>
      <c r="O10" s="45" t="s">
        <v>112</v>
      </c>
      <c r="P10" s="223"/>
      <c r="Q10" s="222" t="str">
        <f t="shared" si="1"/>
        <v>--</v>
      </c>
      <c r="R10" s="42" t="str">
        <f t="shared" si="2"/>
        <v>--</v>
      </c>
      <c r="S10" s="42" t="str">
        <f t="shared" si="3"/>
        <v>--</v>
      </c>
      <c r="T10" s="42" t="str">
        <f t="shared" si="4"/>
        <v>--</v>
      </c>
      <c r="U10" s="42" t="str">
        <f t="shared" si="5"/>
        <v>--</v>
      </c>
      <c r="V10" s="42" t="str">
        <f t="shared" si="6"/>
        <v>--</v>
      </c>
      <c r="W10" s="42" t="str">
        <f t="shared" si="7"/>
        <v>--</v>
      </c>
      <c r="X10" s="43" t="str">
        <f t="shared" si="8"/>
        <v>--</v>
      </c>
      <c r="Y10" s="13"/>
      <c r="Z10" s="13"/>
      <c r="AA10" s="13"/>
      <c r="AB10" s="13"/>
      <c r="AC10" s="13"/>
      <c r="AD10" s="13"/>
      <c r="AE10" s="13"/>
      <c r="AF10" s="38"/>
    </row>
    <row r="11" spans="1:32" ht="14.4" thickBot="1" x14ac:dyDescent="0.35">
      <c r="A11" s="39"/>
      <c r="B11" s="45" t="s">
        <v>144</v>
      </c>
      <c r="C11" s="62">
        <f>COUNTIFS(Table2[Was the infection an HAI? (Y/N)], "Yes",Table2[Month],"July",Table2[COVID-19],"X")+COUNTIFS(Table2[Was the infection an HAI? (Y/N)], "Yes",Table2[Month],"July",Table2[Pneumonia],"X")+COUNTIFS(Table2[Was the infection an HAI? (Y/N)], "Yes",Table2[Month],"July",Table2[Lower Respiratory Tract Infection],"X")+COUNTIFS(Table2[Was the infection an HAI? (Y/N)],"Yes", Table2[Month],"July", Table2[Upper Respiratory Tract Infection],"X")+COUNTIFS(Table2[Was the infection an HAI? (Y/N)], "Yes", Table2[Month],"July",Table2[Influenza],"X")</f>
        <v>0</v>
      </c>
      <c r="D11" s="62">
        <f>COUNTIFS(Table2[Was the infection an HAI? (Y/N)], "Yes",Table2[Month],"July",Table2[Gastroenteritis],"X")+COUNTIFS(Table2[Was the infection an HAI? (Y/N)], "Yes",Table2[Month],"July",Table2[Norovirus],"X")+COUNTIFS(Table2[Was the infection an HAI? (Y/N)], "Yes",Table2[Month],"July",Table2[C. difficile],"X")</f>
        <v>0</v>
      </c>
      <c r="E11" s="216">
        <f>COUNTIFS(Table2[Was the infection an HAI? (Y/N)], "Yes",Table2[Month],"July",Table2[CAUTI (catheter-associated UTI)],"X")+COUNTIFS(Table2[Was the infection an HAI? (Y/N)], "Yes",Table2[Month],"July",Table2[UTI - NO indwelling catheter],"X")</f>
        <v>0</v>
      </c>
      <c r="F11" s="62">
        <f>COUNTIFS(Table2[Was the infection an HAI? (Y/N)], "Yes",Table2[Month],"July",Table2[Conjunctivitis],"X")+COUNTIFS(Table2[Was the infection an HAI? (Y/N)], "Yes",Table2[Month],"July",Table2[Mouth/Perioral infection],"X")</f>
        <v>0</v>
      </c>
      <c r="G11" s="62">
        <f>COUNTIFS(Table2[Was the infection an HAI? (Y/N)], "Yes",Table2[Month],"July",Table2[Cellulitis/Soft Tissue/Wound],"X")+COUNTIFS(Table2[Was the infection an HAI? (Y/N)], "Yes",Table2[Month],"July",Table2[Fungal],"X")+COUNTIFS(Table2[Was the infection an HAI? (Y/N)], "Yes",Table2[Month],"July",Table2[Herpes virus],"X")+COUNTIFS(Table2[Was the infection an HAI? (Y/N)], "Yes",Table2[Month],"July",Table2[Scabies],"X")</f>
        <v>0</v>
      </c>
      <c r="H11" s="62">
        <f>COUNTIFS(Table2[Was the infection an HAI? (Y/N)], "Yes",Table2[Month],"July",Table2[Primary Bloodstream Infection],"X")+COUNTIFS(Table2[Was the infection an HAI? (Y/N)], "Yes",Table2[Month],"July",Table2[Unexplained febrile episode],"X")</f>
        <v>0</v>
      </c>
      <c r="I11" s="62">
        <f>COUNTIFS(Table2[Was the infection an HAI? (Y/N)], "Yes",Table2[Month],"July",Table2[Optional 1],"X")</f>
        <v>0</v>
      </c>
      <c r="J11" s="62">
        <f>COUNTIFS(Table2[Was the infection an HAI? (Y/N)], "Yes",Table2[Month],"July",Table2[Optional 2],"X")</f>
        <v>0</v>
      </c>
      <c r="K11" s="51">
        <f t="shared" si="0"/>
        <v>0</v>
      </c>
      <c r="L11" s="13"/>
      <c r="M11" s="13"/>
      <c r="N11" s="13"/>
      <c r="O11" s="45" t="s">
        <v>144</v>
      </c>
      <c r="P11" s="223"/>
      <c r="Q11" s="222" t="str">
        <f t="shared" si="1"/>
        <v>--</v>
      </c>
      <c r="R11" s="42" t="str">
        <f t="shared" si="2"/>
        <v>--</v>
      </c>
      <c r="S11" s="42" t="str">
        <f t="shared" si="3"/>
        <v>--</v>
      </c>
      <c r="T11" s="42" t="str">
        <f t="shared" si="4"/>
        <v>--</v>
      </c>
      <c r="U11" s="42" t="str">
        <f t="shared" si="5"/>
        <v>--</v>
      </c>
      <c r="V11" s="42" t="str">
        <f t="shared" si="6"/>
        <v>--</v>
      </c>
      <c r="W11" s="42" t="str">
        <f t="shared" si="7"/>
        <v>--</v>
      </c>
      <c r="X11" s="43" t="str">
        <f t="shared" si="8"/>
        <v>--</v>
      </c>
      <c r="Y11" s="13"/>
      <c r="Z11" s="13"/>
      <c r="AA11" s="13"/>
      <c r="AB11" s="13"/>
      <c r="AC11" s="13"/>
      <c r="AD11" s="13"/>
      <c r="AE11" s="13"/>
      <c r="AF11" s="38"/>
    </row>
    <row r="12" spans="1:32" ht="14.4" thickBot="1" x14ac:dyDescent="0.35">
      <c r="A12" s="39"/>
      <c r="B12" s="45" t="s">
        <v>113</v>
      </c>
      <c r="C12" s="62">
        <f>COUNTIFS(Table2[Was the infection an HAI? (Y/N)], "Yes",Table2[Month],"August",Table2[COVID-19],"X")+COUNTIFS(Table2[Was the infection an HAI? (Y/N)], "Yes",Table2[Month],"August",Table2[Pneumonia],"X")+COUNTIFS(Table2[Was the infection an HAI? (Y/N)], "Yes",Table2[Month],"August",Table2[Lower Respiratory Tract Infection],"X")+COUNTIFS(Table2[Was the infection an HAI? (Y/N)],"Yes", Table2[Month],"August", Table2[Upper Respiratory Tract Infection],"X")+COUNTIFS(Table2[Was the infection an HAI? (Y/N)], "Yes", Table2[Month],"August",Table2[Influenza],"X")</f>
        <v>0</v>
      </c>
      <c r="D12" s="62">
        <f>COUNTIFS(Table2[Was the infection an HAI? (Y/N)], "Yes",Table2[Month],"August",Table2[Gastroenteritis],"X")+COUNTIFS(Table2[Was the infection an HAI? (Y/N)], "Yes",Table2[Month],"August",Table2[Norovirus],"X")+COUNTIFS(Table2[Was the infection an HAI? (Y/N)], "Yes",Table2[Month],"August",Table2[C. difficile],"X")</f>
        <v>0</v>
      </c>
      <c r="E12" s="216">
        <f>COUNTIFS(Table2[Was the infection an HAI? (Y/N)], "Yes",Table2[Month],"August",Table2[CAUTI (catheter-associated UTI)],"X")+COUNTIFS(Table2[Was the infection an HAI? (Y/N)], "Yes",Table2[Month],"August",Table2[UTI - NO indwelling catheter],"X")</f>
        <v>0</v>
      </c>
      <c r="F12" s="62">
        <f>COUNTIFS(Table2[Was the infection an HAI? (Y/N)], "Yes",Table2[Month],"August",Table2[Conjunctivitis],"X")+COUNTIFS(Table2[Was the infection an HAI? (Y/N)], "Yes",Table2[Month],"August",Table2[Mouth/Perioral infection],"X")</f>
        <v>0</v>
      </c>
      <c r="G12" s="62">
        <f>COUNTIFS(Table2[Was the infection an HAI? (Y/N)], "Yes",Table2[Month],"August",Table2[Cellulitis/Soft Tissue/Wound],"X")+COUNTIFS(Table2[Was the infection an HAI? (Y/N)], "Yes",Table2[Month],"August",Table2[Fungal],"X")+COUNTIFS(Table2[Was the infection an HAI? (Y/N)], "Yes",Table2[Month],"August",Table2[Herpes virus],"X")+COUNTIFS(Table2[Was the infection an HAI? (Y/N)], "Yes",Table2[Month],"August",Table2[Scabies],"X")</f>
        <v>0</v>
      </c>
      <c r="H12" s="62">
        <f>COUNTIFS(Table2[Was the infection an HAI? (Y/N)], "Yes",Table2[Month],"August",Table2[Primary Bloodstream Infection],"X")+COUNTIFS(Table2[Was the infection an HAI? (Y/N)], "Yes",Table2[Month],"August",Table2[Unexplained febrile episode],"X")</f>
        <v>0</v>
      </c>
      <c r="I12" s="62">
        <f>COUNTIFS(Table2[Was the infection an HAI? (Y/N)], "Yes",Table2[Month],"August",Table2[Optional 1],"X")</f>
        <v>0</v>
      </c>
      <c r="J12" s="62">
        <f>COUNTIFS(Table2[Was the infection an HAI? (Y/N)], "Yes",Table2[Month],"August",Table2[Optional 2],"X")</f>
        <v>0</v>
      </c>
      <c r="K12" s="51">
        <f t="shared" si="0"/>
        <v>0</v>
      </c>
      <c r="L12" s="13"/>
      <c r="M12" s="13"/>
      <c r="N12" s="13"/>
      <c r="O12" s="45" t="s">
        <v>113</v>
      </c>
      <c r="P12" s="223"/>
      <c r="Q12" s="222" t="str">
        <f t="shared" si="1"/>
        <v>--</v>
      </c>
      <c r="R12" s="42" t="str">
        <f t="shared" si="2"/>
        <v>--</v>
      </c>
      <c r="S12" s="42" t="str">
        <f t="shared" si="3"/>
        <v>--</v>
      </c>
      <c r="T12" s="42" t="str">
        <f t="shared" si="4"/>
        <v>--</v>
      </c>
      <c r="U12" s="42" t="str">
        <f t="shared" si="5"/>
        <v>--</v>
      </c>
      <c r="V12" s="42" t="str">
        <f t="shared" si="6"/>
        <v>--</v>
      </c>
      <c r="W12" s="42" t="str">
        <f t="shared" si="7"/>
        <v>--</v>
      </c>
      <c r="X12" s="43" t="str">
        <f t="shared" si="8"/>
        <v>--</v>
      </c>
      <c r="Y12" s="13"/>
      <c r="Z12" s="13"/>
      <c r="AA12" s="13"/>
      <c r="AB12" s="13"/>
      <c r="AC12" s="13"/>
      <c r="AD12" s="13"/>
      <c r="AE12" s="13"/>
      <c r="AF12" s="38"/>
    </row>
    <row r="13" spans="1:32" ht="14.4" thickBot="1" x14ac:dyDescent="0.35">
      <c r="A13" s="39"/>
      <c r="B13" s="45" t="s">
        <v>145</v>
      </c>
      <c r="C13" s="62">
        <f>COUNTIFS(Table2[Was the infection an HAI? (Y/N)], "Yes",Table2[Month],"September",Table2[COVID-19],"X")+COUNTIFS(Table2[Was the infection an HAI? (Y/N)], "Yes",Table2[Month],"September",Table2[Pneumonia],"X")+COUNTIFS(Table2[Was the infection an HAI? (Y/N)], "Yes",Table2[Month],"September",Table2[Lower Respiratory Tract Infection],"X")+COUNTIFS(Table2[Was the infection an HAI? (Y/N)],"Yes", Table2[Month],"September", Table2[Upper Respiratory Tract Infection],"X")+COUNTIFS(Table2[Was the infection an HAI? (Y/N)], "Yes", Table2[Month],"September",Table2[Influenza],"X")</f>
        <v>0</v>
      </c>
      <c r="D13" s="62">
        <f>COUNTIFS(Table2[Was the infection an HAI? (Y/N)], "Yes",Table2[Month],"September",Table2[Gastroenteritis],"X")+COUNTIFS(Table2[Was the infection an HAI? (Y/N)], "Yes",Table2[Month],"September",Table2[Norovirus],"X")+COUNTIFS(Table2[Was the infection an HAI? (Y/N)], "Yes",Table2[Month],"September",Table2[C. difficile],"X")</f>
        <v>0</v>
      </c>
      <c r="E13" s="216">
        <f>COUNTIFS(Table2[Was the infection an HAI? (Y/N)], "Yes",Table2[Month],"September",Table2[CAUTI (catheter-associated UTI)],"X")+COUNTIFS(Table2[Was the infection an HAI? (Y/N)], "Yes",Table2[Month],"September",Table2[UTI - NO indwelling catheter],"X")</f>
        <v>0</v>
      </c>
      <c r="F13" s="62">
        <f>COUNTIFS(Table2[Was the infection an HAI? (Y/N)], "Yes",Table2[Month],"September",Table2[Conjunctivitis],"X")+COUNTIFS(Table2[Was the infection an HAI? (Y/N)], "Yes",Table2[Month],"September",Table2[Mouth/Perioral infection],"X")</f>
        <v>0</v>
      </c>
      <c r="G13" s="62">
        <f>COUNTIFS(Table2[Was the infection an HAI? (Y/N)], "Yes",Table2[Month],"September",Table2[Cellulitis/Soft Tissue/Wound],"X")+COUNTIFS(Table2[Was the infection an HAI? (Y/N)], "Yes",Table2[Month],"September",Table2[Fungal],"X")+COUNTIFS(Table2[Was the infection an HAI? (Y/N)], "Yes",Table2[Month],"September",Table2[Herpes virus],"X")+COUNTIFS(Table2[Was the infection an HAI? (Y/N)], "Yes",Table2[Month],"September",Table2[Scabies],"X")</f>
        <v>0</v>
      </c>
      <c r="H13" s="62">
        <f>COUNTIFS(Table2[Was the infection an HAI? (Y/N)], "Yes",Table2[Month],"September",Table2[Primary Bloodstream Infection],"X")+COUNTIFS(Table2[Was the infection an HAI? (Y/N)], "Yes",Table2[Month],"September",Table2[Unexplained febrile episode],"X")</f>
        <v>0</v>
      </c>
      <c r="I13" s="62">
        <f>COUNTIFS(Table2[Was the infection an HAI? (Y/N)], "Yes",Table2[Month],"September",Table2[Optional 1],"X")</f>
        <v>0</v>
      </c>
      <c r="J13" s="62">
        <f>COUNTIFS(Table2[Was the infection an HAI? (Y/N)], "Yes",Table2[Month],"September",Table2[Optional 2],"X")</f>
        <v>0</v>
      </c>
      <c r="K13" s="51">
        <f t="shared" si="0"/>
        <v>0</v>
      </c>
      <c r="L13" s="13"/>
      <c r="M13" s="13"/>
      <c r="N13" s="13"/>
      <c r="O13" s="45" t="s">
        <v>145</v>
      </c>
      <c r="P13" s="223"/>
      <c r="Q13" s="222" t="str">
        <f t="shared" si="1"/>
        <v>--</v>
      </c>
      <c r="R13" s="42" t="str">
        <f t="shared" si="2"/>
        <v>--</v>
      </c>
      <c r="S13" s="42" t="str">
        <f t="shared" si="3"/>
        <v>--</v>
      </c>
      <c r="T13" s="42" t="str">
        <f t="shared" si="4"/>
        <v>--</v>
      </c>
      <c r="U13" s="42" t="str">
        <f t="shared" si="5"/>
        <v>--</v>
      </c>
      <c r="V13" s="42" t="str">
        <f t="shared" si="6"/>
        <v>--</v>
      </c>
      <c r="W13" s="42" t="str">
        <f t="shared" si="7"/>
        <v>--</v>
      </c>
      <c r="X13" s="43" t="str">
        <f t="shared" si="8"/>
        <v>--</v>
      </c>
      <c r="Y13" s="13"/>
      <c r="Z13" s="13"/>
      <c r="AA13" s="13"/>
      <c r="AB13" s="13"/>
      <c r="AC13" s="13"/>
      <c r="AD13" s="13"/>
      <c r="AE13" s="13"/>
      <c r="AF13" s="38"/>
    </row>
    <row r="14" spans="1:32" ht="14.4" thickBot="1" x14ac:dyDescent="0.35">
      <c r="A14" s="39"/>
      <c r="B14" s="45" t="s">
        <v>116</v>
      </c>
      <c r="C14" s="62">
        <f>COUNTIFS(Table2[Was the infection an HAI? (Y/N)], "Yes",Table2[Month],"October",Table2[COVID-19],"X")+COUNTIFS(Table2[Was the infection an HAI? (Y/N)], "Yes",Table2[Month],"October",Table2[Pneumonia],"X")+COUNTIFS(Table2[Was the infection an HAI? (Y/N)], "Yes",Table2[Month],"October",Table2[Lower Respiratory Tract Infection],"X")+COUNTIFS(Table2[Was the infection an HAI? (Y/N)],"Yes", Table2[Month],"October", Table2[Upper Respiratory Tract Infection],"X")+COUNTIFS(Table2[Was the infection an HAI? (Y/N)], "Yes", Table2[Month],"October",Table2[Influenza],"X")</f>
        <v>0</v>
      </c>
      <c r="D14" s="62">
        <f>COUNTIFS(Table2[Was the infection an HAI? (Y/N)], "Yes",Table2[Month],"October",Table2[Gastroenteritis],"X")+COUNTIFS(Table2[Was the infection an HAI? (Y/N)], "Yes",Table2[Month],"October",Table2[Norovirus],"X")+COUNTIFS(Table2[Was the infection an HAI? (Y/N)], "Yes",Table2[Month],"October",Table2[C. difficile],"X")</f>
        <v>0</v>
      </c>
      <c r="E14" s="216">
        <f>COUNTIFS(Table2[Was the infection an HAI? (Y/N)], "Yes",Table2[Month],"October",Table2[CAUTI (catheter-associated UTI)],"X")+COUNTIFS(Table2[Was the infection an HAI? (Y/N)], "Yes",Table2[Month],"October",Table2[UTI - NO indwelling catheter],"X")</f>
        <v>0</v>
      </c>
      <c r="F14" s="62">
        <f>COUNTIFS(Table2[Was the infection an HAI? (Y/N)], "Yes",Table2[Month],"October",Table2[Conjunctivitis],"X")+COUNTIFS(Table2[Was the infection an HAI? (Y/N)], "Yes",Table2[Month],"October",Table2[Mouth/Perioral infection],"X")</f>
        <v>0</v>
      </c>
      <c r="G14" s="62">
        <f>COUNTIFS(Table2[Was the infection an HAI? (Y/N)], "Yes",Table2[Month],"October",Table2[Cellulitis/Soft Tissue/Wound],"X")+COUNTIFS(Table2[Was the infection an HAI? (Y/N)], "Yes",Table2[Month],"October",Table2[Fungal],"X")+COUNTIFS(Table2[Was the infection an HAI? (Y/N)], "Yes",Table2[Month],"October",Table2[Herpes virus],"X")+COUNTIFS(Table2[Was the infection an HAI? (Y/N)], "Yes",Table2[Month],"October",Table2[Scabies],"X")</f>
        <v>0</v>
      </c>
      <c r="H14" s="62">
        <f>COUNTIFS(Table2[Was the infection an HAI? (Y/N)], "Yes",Table2[Month],"October",Table2[Primary Bloodstream Infection],"X")+COUNTIFS(Table2[Was the infection an HAI? (Y/N)], "Yes",Table2[Month],"October",Table2[Unexplained febrile episode],"X")</f>
        <v>0</v>
      </c>
      <c r="I14" s="62">
        <f>COUNTIFS(Table2[Was the infection an HAI? (Y/N)], "Yes",Table2[Month],"October",Table2[Optional 1],"X")</f>
        <v>0</v>
      </c>
      <c r="J14" s="62">
        <f>COUNTIFS(Table2[Was the infection an HAI? (Y/N)], "Yes",Table2[Month],"October",Table2[Optional 2],"X")</f>
        <v>0</v>
      </c>
      <c r="K14" s="51">
        <f t="shared" si="0"/>
        <v>0</v>
      </c>
      <c r="L14" s="13"/>
      <c r="M14" s="13"/>
      <c r="N14" s="13"/>
      <c r="O14" s="45" t="s">
        <v>116</v>
      </c>
      <c r="P14" s="223"/>
      <c r="Q14" s="222" t="str">
        <f t="shared" si="1"/>
        <v>--</v>
      </c>
      <c r="R14" s="42" t="str">
        <f t="shared" si="2"/>
        <v>--</v>
      </c>
      <c r="S14" s="42" t="str">
        <f t="shared" si="3"/>
        <v>--</v>
      </c>
      <c r="T14" s="42" t="str">
        <f t="shared" si="4"/>
        <v>--</v>
      </c>
      <c r="U14" s="42" t="str">
        <f t="shared" si="5"/>
        <v>--</v>
      </c>
      <c r="V14" s="42" t="str">
        <f t="shared" si="6"/>
        <v>--</v>
      </c>
      <c r="W14" s="42" t="str">
        <f t="shared" si="7"/>
        <v>--</v>
      </c>
      <c r="X14" s="43" t="str">
        <f t="shared" si="8"/>
        <v>--</v>
      </c>
      <c r="Y14" s="13"/>
      <c r="Z14" s="13"/>
      <c r="AA14" s="13"/>
      <c r="AB14" s="13"/>
      <c r="AC14" s="13"/>
      <c r="AD14" s="13"/>
      <c r="AE14" s="13"/>
      <c r="AF14" s="38"/>
    </row>
    <row r="15" spans="1:32" ht="14.4" thickBot="1" x14ac:dyDescent="0.35">
      <c r="A15" s="39"/>
      <c r="B15" s="45" t="s">
        <v>117</v>
      </c>
      <c r="C15" s="62">
        <f>COUNTIFS(Table2[Was the infection an HAI? (Y/N)], "Yes",Table2[Month],"November",Table2[COVID-19],"X")+COUNTIFS(Table2[Was the infection an HAI? (Y/N)], "Yes",Table2[Month],"November",Table2[Pneumonia],"X")+COUNTIFS(Table2[Was the infection an HAI? (Y/N)], "Yes",Table2[Month],"November",Table2[Lower Respiratory Tract Infection],"X")+COUNTIFS(Table2[Was the infection an HAI? (Y/N)],"Yes", Table2[Month],"November", Table2[Upper Respiratory Tract Infection],"X")+COUNTIFS(Table2[Was the infection an HAI? (Y/N)], "Yes", Table2[Month],"November",Table2[Influenza],"X")</f>
        <v>0</v>
      </c>
      <c r="D15" s="62">
        <f>COUNTIFS(Table2[Was the infection an HAI? (Y/N)], "Yes",Table2[Month],"November",Table2[Gastroenteritis],"X")+COUNTIFS(Table2[Was the infection an HAI? (Y/N)], "Yes",Table2[Month],"November",Table2[Norovirus],"X")+COUNTIFS(Table2[Was the infection an HAI? (Y/N)], "Yes",Table2[Month],"November",Table2[C. difficile],"X")</f>
        <v>0</v>
      </c>
      <c r="E15" s="216">
        <f>COUNTIFS(Table2[Was the infection an HAI? (Y/N)], "Yes",Table2[Month],"November",Table2[CAUTI (catheter-associated UTI)],"X")+COUNTIFS(Table2[Was the infection an HAI? (Y/N)], "Yes",Table2[Month],"November",Table2[UTI - NO indwelling catheter],"X")</f>
        <v>0</v>
      </c>
      <c r="F15" s="62">
        <f>COUNTIFS(Table2[Was the infection an HAI? (Y/N)], "Yes",Table2[Month],"November",Table2[Conjunctivitis],"X")+COUNTIFS(Table2[Was the infection an HAI? (Y/N)], "Yes",Table2[Month],"November",Table2[Mouth/Perioral infection],"X")</f>
        <v>0</v>
      </c>
      <c r="G15" s="62">
        <f>COUNTIFS(Table2[Was the infection an HAI? (Y/N)], "Yes",Table2[Month],"November",Table2[Cellulitis/Soft Tissue/Wound],"X")+COUNTIFS(Table2[Was the infection an HAI? (Y/N)], "Yes",Table2[Month],"November",Table2[Fungal],"X")+COUNTIFS(Table2[Was the infection an HAI? (Y/N)], "Yes",Table2[Month],"November",Table2[Herpes virus],"X")+COUNTIFS(Table2[Was the infection an HAI? (Y/N)], "Yes",Table2[Month],"November",Table2[Scabies],"X")</f>
        <v>0</v>
      </c>
      <c r="H15" s="62">
        <f>COUNTIFS(Table2[Was the infection an HAI? (Y/N)], "Yes",Table2[Month],"November",Table2[Primary Bloodstream Infection],"X")+COUNTIFS(Table2[Was the infection an HAI? (Y/N)], "Yes",Table2[Month],"November",Table2[Unexplained febrile episode],"X")</f>
        <v>0</v>
      </c>
      <c r="I15" s="62">
        <f>COUNTIFS(Table2[Was the infection an HAI? (Y/N)], "Yes",Table2[Month],"November",Table2[Optional 1],"X")</f>
        <v>0</v>
      </c>
      <c r="J15" s="62">
        <f>COUNTIFS(Table2[Was the infection an HAI? (Y/N)], "Yes",Table2[Month],"November",Table2[Optional 2],"X")</f>
        <v>0</v>
      </c>
      <c r="K15" s="51">
        <f t="shared" si="0"/>
        <v>0</v>
      </c>
      <c r="L15" s="13"/>
      <c r="M15" s="13"/>
      <c r="N15" s="13"/>
      <c r="O15" s="45" t="s">
        <v>117</v>
      </c>
      <c r="P15" s="223"/>
      <c r="Q15" s="222" t="str">
        <f t="shared" si="1"/>
        <v>--</v>
      </c>
      <c r="R15" s="42" t="str">
        <f t="shared" si="2"/>
        <v>--</v>
      </c>
      <c r="S15" s="42" t="str">
        <f t="shared" si="3"/>
        <v>--</v>
      </c>
      <c r="T15" s="42" t="str">
        <f t="shared" si="4"/>
        <v>--</v>
      </c>
      <c r="U15" s="42" t="str">
        <f t="shared" si="5"/>
        <v>--</v>
      </c>
      <c r="V15" s="42" t="str">
        <f t="shared" si="6"/>
        <v>--</v>
      </c>
      <c r="W15" s="42" t="str">
        <f t="shared" si="7"/>
        <v>--</v>
      </c>
      <c r="X15" s="43" t="str">
        <f t="shared" si="8"/>
        <v>--</v>
      </c>
      <c r="Y15" s="13"/>
      <c r="Z15" s="13"/>
      <c r="AA15" s="13"/>
      <c r="AB15" s="13"/>
      <c r="AC15" s="13" t="s">
        <v>120</v>
      </c>
      <c r="AD15" s="13"/>
      <c r="AE15" s="13"/>
      <c r="AF15" s="38"/>
    </row>
    <row r="16" spans="1:32" ht="14.4" thickBot="1" x14ac:dyDescent="0.35">
      <c r="A16" s="39"/>
      <c r="B16" s="60" t="s">
        <v>118</v>
      </c>
      <c r="C16" s="63">
        <f>COUNTIFS(Table2[Was the infection an HAI? (Y/N)], "Yes",Table2[Month],"December",Table2[COVID-19],"X")+COUNTIFS(Table2[Was the infection an HAI? (Y/N)], "Yes",Table2[Month],"December",Table2[Pneumonia],"X")+COUNTIFS(Table2[Was the infection an HAI? (Y/N)], "Yes",Table2[Month],"December",Table2[Lower Respiratory Tract Infection],"X")+COUNTIFS(Table2[Was the infection an HAI? (Y/N)],"Yes", Table2[Month],"December", Table2[Upper Respiratory Tract Infection],"X")+COUNTIFS(Table2[Was the infection an HAI? (Y/N)], "Yes", Table2[Month],"December",Table2[Influenza],"X")</f>
        <v>0</v>
      </c>
      <c r="D16" s="63">
        <f>COUNTIFS(Table2[Was the infection an HAI? (Y/N)], "Yes",Table2[Month],"December",Table2[Gastroenteritis],"X")+COUNTIFS(Table2[Was the infection an HAI? (Y/N)], "Yes",Table2[Month],"December",Table2[Norovirus],"X")+COUNTIFS(Table2[Was the infection an HAI? (Y/N)], "Yes",Table2[Month],"December",Table2[C. difficile],"X")</f>
        <v>0</v>
      </c>
      <c r="E16" s="217">
        <f>COUNTIFS(Table2[Was the infection an HAI? (Y/N)], "Yes",Table2[Month],"December",Table2[CAUTI (catheter-associated UTI)],"X")+COUNTIFS(Table2[Was the infection an HAI? (Y/N)], "Yes",Table2[Month],"December",Table2[UTI - NO indwelling catheter],"X")</f>
        <v>0</v>
      </c>
      <c r="F16" s="63">
        <f>COUNTIFS(Table2[Was the infection an HAI? (Y/N)], "Yes",Table2[Month],"December",Table2[Conjunctivitis],"X")+COUNTIFS(Table2[Was the infection an HAI? (Y/N)], "Yes",Table2[Month],"December",Table2[Mouth/Perioral infection],"X")</f>
        <v>0</v>
      </c>
      <c r="G16" s="63">
        <f>COUNTIFS(Table2[Was the infection an HAI? (Y/N)], "Yes",Table2[Month],"December",Table2[Cellulitis/Soft Tissue/Wound],"X")+COUNTIFS(Table2[Was the infection an HAI? (Y/N)], "Yes",Table2[Month],"December",Table2[Fungal],"X")+COUNTIFS(Table2[Was the infection an HAI? (Y/N)], "Yes",Table2[Month],"December",Table2[Herpes virus],"X")+COUNTIFS(Table2[Was the infection an HAI? (Y/N)], "Yes",Table2[Month],"December",Table2[Scabies],"X")</f>
        <v>0</v>
      </c>
      <c r="H16" s="63">
        <f>COUNTIFS(Table2[Was the infection an HAI? (Y/N)], "Yes",Table2[Month],"December",Table2[Primary Bloodstream Infection],"X")+COUNTIFS(Table2[Was the infection an HAI? (Y/N)], "Yes",Table2[Month],"December",Table2[Unexplained febrile episode],"X")</f>
        <v>0</v>
      </c>
      <c r="I16" s="63">
        <f>COUNTIFS(Table2[Was the infection an HAI? (Y/N)], "Yes",Table2[Month],"December",Table2[Optional 1],"X")</f>
        <v>0</v>
      </c>
      <c r="J16" s="63">
        <f>COUNTIFS(Table2[Was the infection an HAI? (Y/N)], "Yes",Table2[Month],"December",Table2[Optional 2],"X")</f>
        <v>0</v>
      </c>
      <c r="K16" s="59">
        <f t="shared" si="0"/>
        <v>0</v>
      </c>
      <c r="L16" s="13"/>
      <c r="M16" s="13"/>
      <c r="N16" s="13"/>
      <c r="O16" s="60" t="s">
        <v>118</v>
      </c>
      <c r="P16" s="223"/>
      <c r="Q16" s="222" t="str">
        <f t="shared" si="1"/>
        <v>--</v>
      </c>
      <c r="R16" s="42" t="str">
        <f t="shared" si="2"/>
        <v>--</v>
      </c>
      <c r="S16" s="42" t="str">
        <f t="shared" si="3"/>
        <v>--</v>
      </c>
      <c r="T16" s="42" t="str">
        <f t="shared" si="4"/>
        <v>--</v>
      </c>
      <c r="U16" s="42" t="str">
        <f t="shared" si="5"/>
        <v>--</v>
      </c>
      <c r="V16" s="42" t="str">
        <f t="shared" si="6"/>
        <v>--</v>
      </c>
      <c r="W16" s="42" t="str">
        <f t="shared" si="7"/>
        <v>--</v>
      </c>
      <c r="X16" s="43" t="str">
        <f t="shared" si="8"/>
        <v>--</v>
      </c>
      <c r="Y16" s="13"/>
      <c r="Z16" s="13"/>
      <c r="AA16" s="13"/>
      <c r="AB16" s="13"/>
      <c r="AC16" s="13"/>
      <c r="AD16" s="13"/>
      <c r="AE16" s="13"/>
      <c r="AF16" s="38"/>
    </row>
    <row r="17" spans="1:32" ht="14.4" thickBot="1" x14ac:dyDescent="0.35">
      <c r="A17" s="39"/>
      <c r="B17" s="54" t="s">
        <v>68</v>
      </c>
      <c r="C17" s="219">
        <f t="shared" ref="C17:K17" si="9">SUM(C5:C16)</f>
        <v>0</v>
      </c>
      <c r="D17" s="219">
        <f t="shared" si="9"/>
        <v>0</v>
      </c>
      <c r="E17" s="218">
        <f t="shared" si="9"/>
        <v>0</v>
      </c>
      <c r="F17" s="57">
        <f t="shared" si="9"/>
        <v>0</v>
      </c>
      <c r="G17" s="57">
        <f t="shared" si="9"/>
        <v>0</v>
      </c>
      <c r="H17" s="57">
        <f t="shared" si="9"/>
        <v>0</v>
      </c>
      <c r="I17" s="56">
        <f t="shared" si="9"/>
        <v>0</v>
      </c>
      <c r="J17" s="58">
        <f t="shared" si="9"/>
        <v>0</v>
      </c>
      <c r="K17" s="52">
        <f t="shared" si="9"/>
        <v>0</v>
      </c>
      <c r="L17" s="13"/>
      <c r="M17" s="13"/>
      <c r="N17" s="13"/>
      <c r="O17" s="53" t="s">
        <v>78</v>
      </c>
      <c r="P17" s="52"/>
      <c r="Q17" s="224" t="e">
        <f t="shared" ref="Q17:X17" si="10">_xlfn.AGGREGATE(1,6,Q5:Q16)</f>
        <v>#DIV/0!</v>
      </c>
      <c r="R17" s="47" t="e">
        <f t="shared" si="10"/>
        <v>#DIV/0!</v>
      </c>
      <c r="S17" s="47" t="e">
        <f t="shared" si="10"/>
        <v>#DIV/0!</v>
      </c>
      <c r="T17" s="47" t="e">
        <f t="shared" si="10"/>
        <v>#DIV/0!</v>
      </c>
      <c r="U17" s="47" t="e">
        <f t="shared" si="10"/>
        <v>#DIV/0!</v>
      </c>
      <c r="V17" s="47" t="e">
        <f t="shared" si="10"/>
        <v>#DIV/0!</v>
      </c>
      <c r="W17" s="47" t="e">
        <f t="shared" si="10"/>
        <v>#DIV/0!</v>
      </c>
      <c r="X17" s="48" t="e">
        <f t="shared" si="10"/>
        <v>#DIV/0!</v>
      </c>
      <c r="Y17" s="13"/>
      <c r="Z17" s="13"/>
      <c r="AA17" s="13"/>
      <c r="AB17" s="13"/>
      <c r="AC17" s="13"/>
      <c r="AD17" s="13"/>
      <c r="AE17" s="13"/>
      <c r="AF17" s="38"/>
    </row>
    <row r="18" spans="1:32" ht="14.4" thickBot="1" x14ac:dyDescent="0.3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38"/>
    </row>
    <row r="19" spans="1:32" x14ac:dyDescent="0.3">
      <c r="A19" s="284"/>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6"/>
    </row>
    <row r="20" spans="1:32" x14ac:dyDescent="0.3">
      <c r="A20" s="287"/>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9"/>
    </row>
    <row r="21" spans="1:32" x14ac:dyDescent="0.3">
      <c r="A21" s="287"/>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9"/>
    </row>
    <row r="22" spans="1:32" x14ac:dyDescent="0.3">
      <c r="A22" s="287"/>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9"/>
    </row>
    <row r="23" spans="1:32" x14ac:dyDescent="0.3">
      <c r="A23" s="287"/>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9"/>
    </row>
    <row r="24" spans="1:32" x14ac:dyDescent="0.3">
      <c r="A24" s="287"/>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9"/>
    </row>
    <row r="25" spans="1:32" x14ac:dyDescent="0.3">
      <c r="A25" s="287"/>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9"/>
    </row>
    <row r="26" spans="1:32" x14ac:dyDescent="0.3">
      <c r="A26" s="287"/>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9"/>
    </row>
    <row r="27" spans="1:32" x14ac:dyDescent="0.3">
      <c r="A27" s="287"/>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9"/>
    </row>
    <row r="28" spans="1:32" x14ac:dyDescent="0.3">
      <c r="A28" s="287"/>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9"/>
    </row>
    <row r="29" spans="1:32" x14ac:dyDescent="0.3">
      <c r="A29" s="287"/>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9"/>
    </row>
    <row r="30" spans="1:32" x14ac:dyDescent="0.3">
      <c r="A30" s="287"/>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9"/>
    </row>
    <row r="31" spans="1:32" x14ac:dyDescent="0.3">
      <c r="A31" s="287"/>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9"/>
    </row>
    <row r="32" spans="1:32" x14ac:dyDescent="0.3">
      <c r="A32" s="287"/>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9"/>
    </row>
    <row r="33" spans="1:32" x14ac:dyDescent="0.3">
      <c r="A33" s="287"/>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9"/>
    </row>
    <row r="34" spans="1:32" x14ac:dyDescent="0.3">
      <c r="A34" s="287"/>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9"/>
    </row>
    <row r="35" spans="1:32" x14ac:dyDescent="0.3">
      <c r="A35" s="287"/>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9"/>
    </row>
    <row r="36" spans="1:32" x14ac:dyDescent="0.3">
      <c r="A36" s="287"/>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9"/>
    </row>
    <row r="37" spans="1:32" x14ac:dyDescent="0.3">
      <c r="A37" s="287"/>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9"/>
    </row>
    <row r="38" spans="1:32" x14ac:dyDescent="0.3">
      <c r="A38" s="287"/>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9"/>
    </row>
    <row r="39" spans="1:32" x14ac:dyDescent="0.3">
      <c r="A39" s="287"/>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9"/>
    </row>
    <row r="40" spans="1:32" x14ac:dyDescent="0.3">
      <c r="A40" s="287"/>
      <c r="B40" s="288"/>
      <c r="C40" s="288"/>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9"/>
    </row>
    <row r="41" spans="1:32" x14ac:dyDescent="0.3">
      <c r="A41" s="287"/>
      <c r="B41" s="288"/>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9"/>
    </row>
    <row r="42" spans="1:32" ht="13.5" customHeight="1" x14ac:dyDescent="0.3">
      <c r="A42" s="287"/>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9"/>
    </row>
    <row r="43" spans="1:32" ht="13.5" customHeight="1" x14ac:dyDescent="0.3">
      <c r="A43" s="287"/>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9"/>
    </row>
    <row r="44" spans="1:32" ht="13.5" customHeight="1" x14ac:dyDescent="0.3">
      <c r="A44" s="287"/>
      <c r="B44" s="288"/>
      <c r="C44" s="288"/>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9"/>
    </row>
    <row r="45" spans="1:32" ht="13.5" customHeight="1" thickBot="1" x14ac:dyDescent="0.35">
      <c r="A45" s="287"/>
      <c r="B45" s="288"/>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9"/>
    </row>
    <row r="46" spans="1:32" ht="13.5" customHeight="1" thickBot="1" x14ac:dyDescent="0.35">
      <c r="A46" s="290"/>
      <c r="B46" s="291"/>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2"/>
      <c r="AB46" s="280"/>
      <c r="AC46" s="280"/>
      <c r="AD46" s="280"/>
      <c r="AE46" s="280"/>
      <c r="AF46" s="280"/>
    </row>
    <row r="47" spans="1:32" ht="15.75" customHeight="1" thickBot="1" x14ac:dyDescent="0.35">
      <c r="A47" s="282"/>
      <c r="B47" s="276" t="s">
        <v>149</v>
      </c>
      <c r="C47" s="277"/>
      <c r="D47" s="277"/>
      <c r="E47" s="277"/>
      <c r="F47" s="277"/>
      <c r="G47" s="277"/>
      <c r="H47" s="277"/>
      <c r="I47" s="277"/>
      <c r="J47" s="277"/>
      <c r="K47" s="278"/>
      <c r="L47" s="280"/>
      <c r="M47" s="280"/>
      <c r="N47" s="280"/>
      <c r="O47" s="280"/>
      <c r="P47" s="280"/>
      <c r="Q47" s="280"/>
      <c r="R47" s="280"/>
      <c r="S47" s="280"/>
      <c r="T47" s="280"/>
      <c r="U47" s="280"/>
      <c r="V47" s="280"/>
      <c r="W47" s="280"/>
      <c r="X47" s="280"/>
      <c r="Y47" s="280"/>
      <c r="Z47" s="280"/>
      <c r="AA47" s="293"/>
      <c r="AB47" s="280"/>
      <c r="AC47" s="280"/>
      <c r="AD47" s="280"/>
      <c r="AE47" s="280"/>
      <c r="AF47" s="280"/>
    </row>
    <row r="48" spans="1:32" ht="42" thickBot="1" x14ac:dyDescent="0.35">
      <c r="A48" s="282"/>
      <c r="B48" s="94" t="s">
        <v>1</v>
      </c>
      <c r="C48" s="74" t="s">
        <v>10</v>
      </c>
      <c r="D48" s="75" t="s">
        <v>143</v>
      </c>
      <c r="E48" s="76" t="s">
        <v>70</v>
      </c>
      <c r="F48" s="95" t="s">
        <v>274</v>
      </c>
      <c r="G48" s="96" t="s">
        <v>12</v>
      </c>
      <c r="H48" s="97" t="s">
        <v>134</v>
      </c>
      <c r="I48" s="98" t="s">
        <v>316</v>
      </c>
      <c r="J48" s="238" t="s">
        <v>329</v>
      </c>
      <c r="K48" s="99" t="s">
        <v>67</v>
      </c>
      <c r="L48" s="280"/>
      <c r="M48" s="280"/>
      <c r="N48" s="280"/>
      <c r="O48" s="280"/>
      <c r="P48" s="280"/>
      <c r="Q48" s="280"/>
      <c r="R48" s="280"/>
      <c r="S48" s="280"/>
      <c r="T48" s="280"/>
      <c r="U48" s="280"/>
      <c r="V48" s="280"/>
      <c r="W48" s="280"/>
      <c r="X48" s="280"/>
      <c r="Y48" s="280"/>
      <c r="Z48" s="280"/>
      <c r="AA48" s="293"/>
      <c r="AB48" s="280"/>
      <c r="AC48" s="280"/>
      <c r="AD48" s="280"/>
      <c r="AE48" s="280"/>
      <c r="AF48" s="280"/>
    </row>
    <row r="49" spans="1:32" x14ac:dyDescent="0.3">
      <c r="A49" s="282"/>
      <c r="B49" s="41" t="s">
        <v>115</v>
      </c>
      <c r="C49" s="61">
        <f>COUNTIFS(Table2[Month],"January",Table2[COVID-19],"X")+COUNTIFS(Table2[Month],"January",Table2[Pneumonia],"X")+COUNTIFS(Table2[Month],"January",Table2[Lower Respiratory Tract Infection],"X")+COUNTIFS(Table2[Month],"January",Table2[Upper Respiratory Tract Infection],"X")+COUNTIFS(Table2[Month],"January",Table2[Influenza],"X")</f>
        <v>0</v>
      </c>
      <c r="D49" s="61">
        <f>COUNTIFS(Table2[Month],"January",Table2[Gastroenteritis],"X")+COUNTIFS(Table2[Month],"January",Table2[Norovirus],"X")+COUNTIFS(Table2[Month],"January",Table2[C. difficile],"X")</f>
        <v>0</v>
      </c>
      <c r="E49" s="61">
        <f>COUNTIFS(Table2[Month],"January",Table2[CAUTI (catheter-associated UTI)],"X")+COUNTIFS(Table2[Month],"January",Table2[UTI - NO indwelling catheter],"X")</f>
        <v>0</v>
      </c>
      <c r="F49" s="61">
        <f>COUNTIFS(Table2[Month],"January",Table2[Conjunctivitis],"X")+COUNTIFS(Table2[Month],"January",Table2[Mouth/Perioral infection],"X")</f>
        <v>0</v>
      </c>
      <c r="G49" s="61">
        <f>COUNTIFS(Table2[Month],"January",Table2[Cellulitis/Soft Tissue/Wound],"X")+COUNTIFS(Table2[Month],"January",Table2[Fungal],"X")+COUNTIFS(Table2[Month],"January",Table2[Herpes virus],"X")+COUNTIFS(Table2[Month],"January",Table2[Scabies],"X")</f>
        <v>0</v>
      </c>
      <c r="H49" s="61">
        <f>COUNTIFS(Table2[Month],"January",Table2[Primary Bloodstream Infection],"X")+COUNTIFS(Table2[Month],"January",Table2[Unexplained febrile episode],"X")</f>
        <v>0</v>
      </c>
      <c r="I49" s="61">
        <f>COUNTIFS(Table2[Month],"January",Table2[Optional 1],"X")</f>
        <v>0</v>
      </c>
      <c r="J49" s="61">
        <f>COUNTIFS(Table2[Month],"January",Table2[Optional 2],"X")</f>
        <v>0</v>
      </c>
      <c r="K49" s="50">
        <f t="shared" ref="K49:K60" si="11">SUM(C49:J49)</f>
        <v>0</v>
      </c>
      <c r="L49" s="280"/>
      <c r="M49" s="280"/>
      <c r="N49" s="280"/>
      <c r="O49" s="280"/>
      <c r="P49" s="280"/>
      <c r="Q49" s="280"/>
      <c r="R49" s="280"/>
      <c r="S49" s="280"/>
      <c r="T49" s="280"/>
      <c r="U49" s="280"/>
      <c r="V49" s="280"/>
      <c r="W49" s="280"/>
      <c r="X49" s="280"/>
      <c r="Y49" s="280"/>
      <c r="Z49" s="280"/>
      <c r="AA49" s="293"/>
      <c r="AB49" s="280"/>
      <c r="AC49" s="280"/>
      <c r="AD49" s="280"/>
      <c r="AE49" s="280"/>
      <c r="AF49" s="280"/>
    </row>
    <row r="50" spans="1:32" x14ac:dyDescent="0.3">
      <c r="A50" s="282"/>
      <c r="B50" s="45" t="s">
        <v>110</v>
      </c>
      <c r="C50" s="62">
        <f>COUNTIFS(Table2[Month],"February",Table2[COVID-19],"X")+COUNTIFS(Table2[Month],"February",Table2[Pneumonia],"X")+COUNTIFS(Table2[Month],"February",Table2[Lower Respiratory Tract Infection],"X")+COUNTIFS(Table2[Month],"February",Table2[Upper Respiratory Tract Infection],"X")+COUNTIFS(Table2[Month],"February",Table2[Influenza],"X")</f>
        <v>0</v>
      </c>
      <c r="D50" s="62">
        <f>COUNTIFS(Table2[Month],"February",Table2[Gastroenteritis],"X")+COUNTIFS(Table2[Month],"February",Table2[Norovirus],"X")+COUNTIFS(Table2[Month],"February",Table2[C. difficile],"X")</f>
        <v>0</v>
      </c>
      <c r="E50" s="62">
        <f>COUNTIFS(Table2[Month],"February",Table2[CAUTI (catheter-associated UTI)],"X")+COUNTIFS(Table2[Month],"February",Table2[UTI - NO indwelling catheter],"X")</f>
        <v>0</v>
      </c>
      <c r="F50" s="62">
        <f>COUNTIFS(Table2[Month],"February",Table2[Conjunctivitis],"X")+COUNTIFS(Table2[Month],"February",Table2[Mouth/Perioral infection],"X")</f>
        <v>0</v>
      </c>
      <c r="G50" s="62">
        <f>COUNTIFS(Table2[Month],"February",Table2[Cellulitis/Soft Tissue/Wound],"X")+COUNTIFS(Table2[Month],"February",Table2[Fungal],"X")+COUNTIFS(Table2[Month],"February",Table2[Herpes virus],"X")+COUNTIFS(Table2[Month],"February",Table2[Scabies],"X")</f>
        <v>0</v>
      </c>
      <c r="H50" s="62">
        <f>COUNTIFS(Table2[Month],"February",Table2[Primary Bloodstream Infection],"X")+COUNTIFS(Table2[Month],"February",Table2[Unexplained febrile episode],"X")</f>
        <v>0</v>
      </c>
      <c r="I50" s="62">
        <f>COUNTIFS(Table2[Month],"February",Table2[Optional 1],"X")</f>
        <v>0</v>
      </c>
      <c r="J50" s="62">
        <f>COUNTIFS(Table2[Month],"February",Table2[Optional 2],"X")</f>
        <v>0</v>
      </c>
      <c r="K50" s="51">
        <f t="shared" si="11"/>
        <v>0</v>
      </c>
      <c r="L50" s="280"/>
      <c r="M50" s="280"/>
      <c r="N50" s="280"/>
      <c r="O50" s="280"/>
      <c r="P50" s="280"/>
      <c r="Q50" s="280"/>
      <c r="R50" s="280"/>
      <c r="S50" s="280"/>
      <c r="T50" s="280"/>
      <c r="U50" s="280"/>
      <c r="V50" s="280"/>
      <c r="W50" s="280"/>
      <c r="X50" s="280"/>
      <c r="Y50" s="280"/>
      <c r="Z50" s="280"/>
      <c r="AA50" s="293"/>
      <c r="AB50" s="280"/>
      <c r="AC50" s="280"/>
      <c r="AD50" s="280"/>
      <c r="AE50" s="280"/>
      <c r="AF50" s="280"/>
    </row>
    <row r="51" spans="1:32" x14ac:dyDescent="0.3">
      <c r="A51" s="282"/>
      <c r="B51" s="45" t="s">
        <v>111</v>
      </c>
      <c r="C51" s="62">
        <f>COUNTIFS(Table2[Month],"March",Table2[COVID-19],"X")+COUNTIFS(Table2[Month],"March",Table2[Pneumonia],"X")+COUNTIFS(Table2[Month],"March",Table2[Lower Respiratory Tract Infection],"X")+COUNTIFS(Table2[Month],"March",Table2[Upper Respiratory Tract Infection],"X")+COUNTIFS(Table2[Month],"March",Table2[Influenza],"X")</f>
        <v>0</v>
      </c>
      <c r="D51" s="62">
        <f>COUNTIFS(Table2[Month],"March",Table2[Gastroenteritis],"X")+COUNTIFS(Table2[Month],"March",Table2[Norovirus],"X")+COUNTIFS(Table2[Month],"March",Table2[C. difficile],"X")</f>
        <v>0</v>
      </c>
      <c r="E51" s="62">
        <f>COUNTIFS(Table2[Month],"March",Table2[CAUTI (catheter-associated UTI)],"X")+COUNTIFS(Table2[Month],"March",Table2[UTI - NO indwelling catheter],"X")</f>
        <v>0</v>
      </c>
      <c r="F51" s="62">
        <f>COUNTIFS(Table2[Month],"March",Table2[Conjunctivitis],"X")+COUNTIFS(Table2[Month],"March",Table2[Mouth/Perioral infection],"X")</f>
        <v>0</v>
      </c>
      <c r="G51" s="62">
        <f>COUNTIFS(Table2[Month],"March",Table2[Cellulitis/Soft Tissue/Wound],"X")+COUNTIFS(Table2[Month],"March",Table2[Fungal],"X")+COUNTIFS(Table2[Month],"March",Table2[Herpes virus],"X")+COUNTIFS(Table2[Month],"March",Table2[Scabies],"X")</f>
        <v>0</v>
      </c>
      <c r="H51" s="62">
        <f>COUNTIFS(Table2[Month],"March",Table2[Primary Bloodstream Infection],"X")+COUNTIFS(Table2[Month],"March",Table2[Unexplained febrile episode],"X")</f>
        <v>0</v>
      </c>
      <c r="I51" s="62">
        <f>COUNTIFS(Table2[Month],"March",Table2[Optional 1],"X")</f>
        <v>0</v>
      </c>
      <c r="J51" s="62">
        <f>COUNTIFS(Table2[Month],"March",Table2[Optional 2],"X")</f>
        <v>0</v>
      </c>
      <c r="K51" s="51">
        <f t="shared" si="11"/>
        <v>0</v>
      </c>
      <c r="L51" s="280"/>
      <c r="M51" s="280"/>
      <c r="N51" s="280"/>
      <c r="O51" s="280"/>
      <c r="P51" s="280"/>
      <c r="Q51" s="280"/>
      <c r="R51" s="280"/>
      <c r="S51" s="280"/>
      <c r="T51" s="280"/>
      <c r="U51" s="280"/>
      <c r="V51" s="280"/>
      <c r="W51" s="280"/>
      <c r="X51" s="280"/>
      <c r="Y51" s="280"/>
      <c r="Z51" s="280"/>
      <c r="AA51" s="293"/>
      <c r="AB51" s="280"/>
      <c r="AC51" s="280"/>
      <c r="AD51" s="280"/>
      <c r="AE51" s="280"/>
      <c r="AF51" s="280"/>
    </row>
    <row r="52" spans="1:32" x14ac:dyDescent="0.3">
      <c r="A52" s="282"/>
      <c r="B52" s="45" t="s">
        <v>146</v>
      </c>
      <c r="C52" s="62">
        <f>COUNTIFS(Table2[Month],"April",Table2[COVID-19],"X")+COUNTIFS(Table2[Month],"April",Table2[Pneumonia],"X")+COUNTIFS(Table2[Month],"April",Table2[Lower Respiratory Tract Infection],"X")+COUNTIFS(Table2[Month],"April",Table2[Upper Respiratory Tract Infection],"X")+COUNTIFS(Table2[Month],"April",Table2[Influenza],"X")</f>
        <v>0</v>
      </c>
      <c r="D52" s="62">
        <f>COUNTIFS(Table2[Month],"April",Table2[Gastroenteritis],"X")+COUNTIFS(Table2[Month],"April",Table2[Norovirus],"X")+COUNTIFS(Table2[Month],"April",Table2[C. difficile],"X")</f>
        <v>0</v>
      </c>
      <c r="E52" s="62">
        <f>COUNTIFS(Table2[Month],"April",Table2[CAUTI (catheter-associated UTI)],"X")+COUNTIFS(Table2[Month],"April",Table2[UTI - NO indwelling catheter],"X")</f>
        <v>0</v>
      </c>
      <c r="F52" s="62">
        <f>COUNTIFS(Table2[Month],"'April",Table2[Conjunctivitis],"X")+COUNTIFS(Table2[Month],"April",Table2[Mouth/Perioral infection],"X")</f>
        <v>0</v>
      </c>
      <c r="G52" s="62">
        <f>COUNTIFS(Table2[Month],"April",Table2[Cellulitis/Soft Tissue/Wound],"X")+COUNTIFS(Table2[Month],"April",Table2[Fungal],"X")+COUNTIFS(Table2[Month],"April",Table2[Herpes virus],"X")+COUNTIFS(Table2[Month],"April",Table2[Scabies],"X")</f>
        <v>0</v>
      </c>
      <c r="H52" s="62">
        <f>COUNTIFS(Table2[Month],"April",Table2[Primary Bloodstream Infection],"X")+COUNTIFS(Table2[Month],"April",Table2[Unexplained febrile episode],"X")</f>
        <v>0</v>
      </c>
      <c r="I52" s="62">
        <f>COUNTIFS(Table2[Month],"April",Table2[Optional 1],"X")</f>
        <v>0</v>
      </c>
      <c r="J52" s="62">
        <f>COUNTIFS(Table2[Month],"April",Table2[Optional 2],"X")</f>
        <v>0</v>
      </c>
      <c r="K52" s="51">
        <f t="shared" si="11"/>
        <v>0</v>
      </c>
      <c r="L52" s="280"/>
      <c r="M52" s="280"/>
      <c r="N52" s="280"/>
      <c r="O52" s="280"/>
      <c r="P52" s="280"/>
      <c r="Q52" s="280"/>
      <c r="R52" s="280"/>
      <c r="S52" s="280"/>
      <c r="T52" s="280"/>
      <c r="U52" s="280"/>
      <c r="V52" s="280"/>
      <c r="W52" s="280"/>
      <c r="X52" s="280"/>
      <c r="Y52" s="280"/>
      <c r="Z52" s="280"/>
      <c r="AA52" s="293"/>
      <c r="AB52" s="280"/>
      <c r="AC52" s="280"/>
      <c r="AD52" s="280"/>
      <c r="AE52" s="280"/>
      <c r="AF52" s="280"/>
    </row>
    <row r="53" spans="1:32" x14ac:dyDescent="0.3">
      <c r="A53" s="282"/>
      <c r="B53" s="45" t="s">
        <v>35</v>
      </c>
      <c r="C53" s="62">
        <f>COUNTIFS(Table2[Month],"May",Table2[COVID-19],"X")+COUNTIFS(Table2[Month],"May",Table2[Pneumonia],"X")+COUNTIFS(Table2[Month],"May",Table2[Lower Respiratory Tract Infection],"X")+COUNTIFS(Table2[Month],"May",Table2[Upper Respiratory Tract Infection],"X")+COUNTIFS(Table2[Month],"May",Table2[Influenza],"X")</f>
        <v>0</v>
      </c>
      <c r="D53" s="62">
        <f>COUNTIFS(Table2[Month],"May",Table2[Gastroenteritis],"X")+COUNTIFS(Table2[Month],"May",Table2[Norovirus],"X")+COUNTIFS(Table2[Month],"May",Table2[C. difficile],"X")</f>
        <v>0</v>
      </c>
      <c r="E53" s="62">
        <f>COUNTIFS(Table2[Month],"May",Table2[CAUTI (catheter-associated UTI)],"X")+COUNTIFS(Table2[Month],"May",Table2[UTI - NO indwelling catheter],"X")</f>
        <v>0</v>
      </c>
      <c r="F53" s="62">
        <f>COUNTIFS(Table2[Month],"May",Table2[Conjunctivitis],"X")+COUNTIFS(Table2[Month],"May",Table2[Mouth/Perioral infection],"X")</f>
        <v>0</v>
      </c>
      <c r="G53" s="62">
        <f>COUNTIFS(Table2[Month],"May",Table2[Cellulitis/Soft Tissue/Wound],"X")+COUNTIFS(Table2[Month],"May",Table2[Fungal],"X")+COUNTIFS(Table2[Month],"May",Table2[Herpes virus],"X")+COUNTIFS(Table2[Month],"May",Table2[Scabies],"X")</f>
        <v>0</v>
      </c>
      <c r="H53" s="62">
        <f>COUNTIFS(Table2[Month],"May",Table2[Primary Bloodstream Infection],"X")+COUNTIFS(Table2[Month],"May",Table2[Unexplained febrile episode],"X")</f>
        <v>0</v>
      </c>
      <c r="I53" s="62">
        <f>COUNTIFS(Table2[Month],"May",Table2[Optional 1],"X")</f>
        <v>0</v>
      </c>
      <c r="J53" s="62">
        <f>COUNTIFS(Table2[Month],"May",Table2[Optional 2],"X")</f>
        <v>0</v>
      </c>
      <c r="K53" s="51">
        <f t="shared" si="11"/>
        <v>0</v>
      </c>
      <c r="L53" s="280"/>
      <c r="M53" s="280"/>
      <c r="N53" s="280"/>
      <c r="O53" s="280"/>
      <c r="P53" s="280"/>
      <c r="Q53" s="280"/>
      <c r="R53" s="280"/>
      <c r="S53" s="280"/>
      <c r="T53" s="280"/>
      <c r="U53" s="280"/>
      <c r="V53" s="280"/>
      <c r="W53" s="280"/>
      <c r="X53" s="280"/>
      <c r="Y53" s="280"/>
      <c r="Z53" s="280"/>
      <c r="AA53" s="293"/>
      <c r="AB53" s="280"/>
      <c r="AC53" s="280"/>
      <c r="AD53" s="280"/>
      <c r="AE53" s="280"/>
      <c r="AF53" s="280"/>
    </row>
    <row r="54" spans="1:32" x14ac:dyDescent="0.3">
      <c r="A54" s="282"/>
      <c r="B54" s="45" t="s">
        <v>112</v>
      </c>
      <c r="C54" s="62">
        <f>COUNTIFS(Table2[Month],"June",Table2[COVID-19],"X")+COUNTIFS(Table2[Month],"June",Table2[Pneumonia],"X")+COUNTIFS(Table2[Month],"June",Table2[Lower Respiratory Tract Infection],"X")+COUNTIFS(Table2[Month],"June",Table2[Upper Respiratory Tract Infection],"X")+COUNTIFS(Table2[Month],"June",Table2[Influenza],"X")</f>
        <v>0</v>
      </c>
      <c r="D54" s="62">
        <f>COUNTIFS(Table2[Month],"June",Table2[Gastroenteritis],"X")+COUNTIFS(Table2[Month],"June",Table2[Norovirus],"X")+COUNTIFS(Table2[Month],"June",Table2[C. difficile],"X")</f>
        <v>0</v>
      </c>
      <c r="E54" s="62">
        <f>COUNTIFS(Table2[Month],"June",Table2[CAUTI (catheter-associated UTI)],"X")+COUNTIFS(Table2[Month],"June",Table2[UTI - NO indwelling catheter],"X")</f>
        <v>0</v>
      </c>
      <c r="F54" s="62">
        <f>COUNTIFS(Table2[Month],"June",Table2[Conjunctivitis],"X")+COUNTIFS(Table2[Month],"June",Table2[Mouth/Perioral infection],"X")</f>
        <v>0</v>
      </c>
      <c r="G54" s="62">
        <f>COUNTIFS(Table2[Month],"June",Table2[Cellulitis/Soft Tissue/Wound],"X")+COUNTIFS(Table2[Month],"June",Table2[Fungal],"X")+COUNTIFS(Table2[Month],"June",Table2[Herpes virus],"X")+COUNTIFS(Table2[Month],"June",Table2[Scabies],"X")</f>
        <v>0</v>
      </c>
      <c r="H54" s="62">
        <f>COUNTIFS(Table2[Month],"June",Table2[Primary Bloodstream Infection],"X")+COUNTIFS(Table2[Month],"June",Table2[Unexplained febrile episode],"X")</f>
        <v>0</v>
      </c>
      <c r="I54" s="62">
        <f>COUNTIFS(Table2[Month],"June",Table2[Optional 1],"X")</f>
        <v>0</v>
      </c>
      <c r="J54" s="62">
        <f>COUNTIFS(Table2[Month],"June",Table2[Optional 2],"X")</f>
        <v>0</v>
      </c>
      <c r="K54" s="51">
        <f t="shared" si="11"/>
        <v>0</v>
      </c>
      <c r="L54" s="280"/>
      <c r="M54" s="280"/>
      <c r="N54" s="280"/>
      <c r="O54" s="280"/>
      <c r="P54" s="280"/>
      <c r="Q54" s="280"/>
      <c r="R54" s="280"/>
      <c r="S54" s="280"/>
      <c r="T54" s="280"/>
      <c r="U54" s="280"/>
      <c r="V54" s="280"/>
      <c r="W54" s="280"/>
      <c r="X54" s="280"/>
      <c r="Y54" s="280"/>
      <c r="Z54" s="280"/>
      <c r="AA54" s="293"/>
      <c r="AB54" s="280"/>
      <c r="AC54" s="280"/>
      <c r="AD54" s="280"/>
      <c r="AE54" s="280"/>
      <c r="AF54" s="280"/>
    </row>
    <row r="55" spans="1:32" x14ac:dyDescent="0.3">
      <c r="A55" s="282"/>
      <c r="B55" s="45" t="s">
        <v>144</v>
      </c>
      <c r="C55" s="62">
        <f>COUNTIFS(Table2[Month],"July",Table2[COVID-19],"X")+COUNTIFS(Table2[Month],"July",Table2[Pneumonia],"X")+COUNTIFS(Table2[Month],"July",Table2[Lower Respiratory Tract Infection],"X")+COUNTIFS(Table2[Month],"July",Table2[Upper Respiratory Tract Infection],"X")+COUNTIFS(Table2[Month],"July",Table2[Influenza],"X")</f>
        <v>0</v>
      </c>
      <c r="D55" s="62">
        <f>COUNTIFS(Table2[Month],"July",Table2[Gastroenteritis],"X")+COUNTIFS(Table2[Month],"July",Table2[Norovirus],"X")+COUNTIFS(Table2[Month],"July",Table2[C. difficile],"X")</f>
        <v>0</v>
      </c>
      <c r="E55" s="62">
        <f>COUNTIFS(Table2[Month],"July",Table2[CAUTI (catheter-associated UTI)],"X")+COUNTIFS(Table2[Month],"July",Table2[UTI - NO indwelling catheter],"X")</f>
        <v>0</v>
      </c>
      <c r="F55" s="62">
        <f>COUNTIFS(Table2[Month],"July",Table2[Conjunctivitis],"X")+COUNTIFS(Table2[Month],"July",Table2[Mouth/Perioral infection],"X")</f>
        <v>0</v>
      </c>
      <c r="G55" s="62">
        <f>COUNTIFS(Table2[Month],"July",Table2[Cellulitis/Soft Tissue/Wound],"X")+COUNTIFS(Table2[Month],"July",Table2[Fungal],"X")+COUNTIFS(Table2[Month],"July",Table2[Herpes virus],"X")+COUNTIFS(Table2[Month],"July",Table2[Scabies],"X")</f>
        <v>0</v>
      </c>
      <c r="H55" s="62">
        <f>COUNTIFS(Table2[Month],"July",Table2[Primary Bloodstream Infection],"X")+COUNTIFS(Table2[Month],"July",Table2[Unexplained febrile episode],"X")</f>
        <v>0</v>
      </c>
      <c r="I55" s="62">
        <f>COUNTIFS(Table2[Month],"July",Table2[Optional 1],"X")</f>
        <v>0</v>
      </c>
      <c r="J55" s="62">
        <f>COUNTIFS(Table2[Month],"July",Table2[Optional 2],"X")</f>
        <v>0</v>
      </c>
      <c r="K55" s="51">
        <f t="shared" si="11"/>
        <v>0</v>
      </c>
      <c r="L55" s="280"/>
      <c r="M55" s="280"/>
      <c r="N55" s="280"/>
      <c r="O55" s="280"/>
      <c r="P55" s="280"/>
      <c r="Q55" s="280"/>
      <c r="R55" s="280"/>
      <c r="S55" s="280"/>
      <c r="T55" s="280"/>
      <c r="U55" s="280"/>
      <c r="V55" s="280"/>
      <c r="W55" s="280"/>
      <c r="X55" s="280"/>
      <c r="Y55" s="280"/>
      <c r="Z55" s="280"/>
      <c r="AA55" s="293"/>
      <c r="AB55" s="280"/>
      <c r="AC55" s="280"/>
      <c r="AD55" s="280"/>
      <c r="AE55" s="280"/>
      <c r="AF55" s="280"/>
    </row>
    <row r="56" spans="1:32" x14ac:dyDescent="0.3">
      <c r="A56" s="282"/>
      <c r="B56" s="45" t="s">
        <v>113</v>
      </c>
      <c r="C56" s="62">
        <f>COUNTIFS(Table2[Month],"August",Table2[COVID-19],"X")+COUNTIFS(Table2[Month],"August",Table2[Pneumonia],"X")+COUNTIFS(Table2[Month],"August",Table2[Lower Respiratory Tract Infection],"X")+COUNTIFS(Table2[Month],"August",Table2[Upper Respiratory Tract Infection],"X")+COUNTIFS(Table2[Month],"August",Table2[Influenza],"X")</f>
        <v>0</v>
      </c>
      <c r="D56" s="62">
        <f>COUNTIFS(Table2[Month],"August",Table2[Gastroenteritis],"X")+COUNTIFS(Table2[Month],"August",Table2[Norovirus],"X")+COUNTIFS(Table2[Month],"August",Table2[C. difficile],"X")</f>
        <v>0</v>
      </c>
      <c r="E56" s="62">
        <f>COUNTIFS(Table2[Month],"August",Table2[CAUTI (catheter-associated UTI)],"X")+COUNTIFS(Table2[Month],"August",Table2[UTI - NO indwelling catheter],"X")</f>
        <v>0</v>
      </c>
      <c r="F56" s="62">
        <f>COUNTIFS(Table2[Month],"August",Table2[Conjunctivitis],"X")+COUNTIFS(Table2[Month],"August",Table2[Mouth/Perioral infection],"X")</f>
        <v>0</v>
      </c>
      <c r="G56" s="62">
        <f>COUNTIFS(Table2[Month],"August",Table2[Cellulitis/Soft Tissue/Wound],"X")+COUNTIFS(Table2[Month],"August",Table2[Fungal],"X")+COUNTIFS(Table2[Month],"August",Table2[Herpes virus],"X")+COUNTIFS(Table2[Month],"August",Table2[Scabies],"X")</f>
        <v>0</v>
      </c>
      <c r="H56" s="62">
        <f>COUNTIFS(Table2[Month],"August",Table2[Primary Bloodstream Infection],"X")+COUNTIFS(Table2[Month],"August",Table2[Unexplained febrile episode],"X")</f>
        <v>0</v>
      </c>
      <c r="I56" s="62">
        <f>COUNTIFS(Table2[Month],"August",Table2[Optional 1],"X")</f>
        <v>0</v>
      </c>
      <c r="J56" s="62">
        <f>COUNTIFS(Table2[Month],"August",Table2[Optional 2],"X")</f>
        <v>0</v>
      </c>
      <c r="K56" s="51">
        <f t="shared" si="11"/>
        <v>0</v>
      </c>
      <c r="L56" s="280"/>
      <c r="M56" s="280"/>
      <c r="N56" s="280"/>
      <c r="O56" s="280"/>
      <c r="P56" s="280"/>
      <c r="Q56" s="280"/>
      <c r="R56" s="280"/>
      <c r="S56" s="280"/>
      <c r="T56" s="280"/>
      <c r="U56" s="280"/>
      <c r="V56" s="280"/>
      <c r="W56" s="280"/>
      <c r="X56" s="280"/>
      <c r="Y56" s="280"/>
      <c r="Z56" s="280"/>
      <c r="AA56" s="293"/>
      <c r="AB56" s="280"/>
      <c r="AC56" s="280"/>
      <c r="AD56" s="280"/>
      <c r="AE56" s="280"/>
      <c r="AF56" s="280"/>
    </row>
    <row r="57" spans="1:32" x14ac:dyDescent="0.3">
      <c r="A57" s="282"/>
      <c r="B57" s="45" t="s">
        <v>145</v>
      </c>
      <c r="C57" s="62">
        <f>COUNTIFS(Table2[Month],"September",Table2[COVID-19],"X")+COUNTIFS(Table2[Month],"September",Table2[Pneumonia],"X")+COUNTIFS(Table2[Month],"September",Table2[Lower Respiratory Tract Infection],"X")+COUNTIFS(Table2[Month],"September",Table2[Upper Respiratory Tract Infection],"X")+COUNTIFS(Table2[Month],"September",Table2[Influenza],"X")</f>
        <v>0</v>
      </c>
      <c r="D57" s="62">
        <f>COUNTIFS(Table2[Month],"September",Table2[Gastroenteritis],"X")+COUNTIFS(Table2[Month],"September",Table2[Norovirus],"X")+COUNTIFS(Table2[Month],"September",Table2[C. difficile],"X")</f>
        <v>0</v>
      </c>
      <c r="E57" s="62">
        <f>COUNTIFS(Table2[Month],"September",Table2[CAUTI (catheter-associated UTI)],"X")+COUNTIFS(Table2[Month],"September",Table2[UTI - NO indwelling catheter],"X")</f>
        <v>0</v>
      </c>
      <c r="F57" s="62">
        <f>COUNTIFS(Table2[Month],"September",Table2[Conjunctivitis],"X")+COUNTIFS(Table2[Month],"September",Table2[Mouth/Perioral infection],"X")</f>
        <v>0</v>
      </c>
      <c r="G57" s="62">
        <f>COUNTIFS(Table2[Month],"September",Table2[Cellulitis/Soft Tissue/Wound],"X")+COUNTIFS(Table2[Month],"September",Table2[Fungal],"X")+COUNTIFS(Table2[Month],"september",Table2[Herpes virus],"X")+COUNTIFS(Table2[Month],"September",Table2[Scabies],"X")</f>
        <v>0</v>
      </c>
      <c r="H57" s="62">
        <f>COUNTIFS(Table2[Month],"September",Table2[Primary Bloodstream Infection],"X")+COUNTIFS(Table2[Month],"September",Table2[Unexplained febrile episode],"X")</f>
        <v>0</v>
      </c>
      <c r="I57" s="62">
        <f>COUNTIFS(Table2[Month],"September",Table2[Optional 1],"X")</f>
        <v>0</v>
      </c>
      <c r="J57" s="62">
        <f>COUNTIFS(Table2[Month],"September",Table2[Optional 2],"X")</f>
        <v>0</v>
      </c>
      <c r="K57" s="51">
        <f t="shared" si="11"/>
        <v>0</v>
      </c>
      <c r="L57" s="280"/>
      <c r="M57" s="280"/>
      <c r="N57" s="280"/>
      <c r="O57" s="280"/>
      <c r="P57" s="280"/>
      <c r="Q57" s="280"/>
      <c r="R57" s="280"/>
      <c r="S57" s="280"/>
      <c r="T57" s="280"/>
      <c r="U57" s="280"/>
      <c r="V57" s="280"/>
      <c r="W57" s="280"/>
      <c r="X57" s="280"/>
      <c r="Y57" s="280"/>
      <c r="Z57" s="280"/>
      <c r="AA57" s="293"/>
      <c r="AB57" s="280"/>
      <c r="AC57" s="280"/>
      <c r="AD57" s="280"/>
      <c r="AE57" s="280"/>
      <c r="AF57" s="280"/>
    </row>
    <row r="58" spans="1:32" x14ac:dyDescent="0.3">
      <c r="A58" s="282"/>
      <c r="B58" s="45" t="s">
        <v>116</v>
      </c>
      <c r="C58" s="62">
        <f>COUNTIFS(Table2[Month],"October",Table2[COVID-19],"X")+COUNTIFS(Table2[Month],"October",Table2[Pneumonia],"X")+COUNTIFS(Table2[Month],"October",Table2[Lower Respiratory Tract Infection],"X")+COUNTIFS(Table2[Month],"October",Table2[Upper Respiratory Tract Infection],"X")+COUNTIFS(Table2[Month],"October",Table2[Influenza],"X")</f>
        <v>0</v>
      </c>
      <c r="D58" s="62">
        <f>COUNTIFS(Table2[Month],"October",Table2[Gastroenteritis],"X")+COUNTIFS(Table2[Month],"October",Table2[Norovirus],"X")+COUNTIFS(Table2[Month],"October",Table2[C. difficile],"X")</f>
        <v>0</v>
      </c>
      <c r="E58" s="62">
        <f>COUNTIFS(Table2[Month],"October",Table2[CAUTI (catheter-associated UTI)],"X")+COUNTIFS(Table2[Month],"October",Table2[UTI - NO indwelling catheter],"X")</f>
        <v>0</v>
      </c>
      <c r="F58" s="62">
        <f>COUNTIFS(Table2[Month],"October",Table2[Conjunctivitis],"X")+COUNTIFS(Table2[Month],"October",Table2[Mouth/Perioral infection],"X")</f>
        <v>0</v>
      </c>
      <c r="G58" s="62">
        <f>COUNTIFS(Table2[Month],"October",Table2[Cellulitis/Soft Tissue/Wound],"X")+COUNTIFS(Table2[Month],"October",Table2[Fungal],"X")+COUNTIFS(Table2[Month],"October",Table2[Herpes virus],"X")+COUNTIFS(Table2[Month],"October",Table2[Scabies],"X")</f>
        <v>0</v>
      </c>
      <c r="H58" s="62">
        <f>COUNTIFS(Table2[Month],"October",Table2[Primary Bloodstream Infection],"X")+COUNTIFS(Table2[Month],"October",Table2[Unexplained febrile episode],"X")</f>
        <v>0</v>
      </c>
      <c r="I58" s="62">
        <f>COUNTIFS(Table2[Month],"October",Table2[Optional 1],"X")</f>
        <v>0</v>
      </c>
      <c r="J58" s="62">
        <f>COUNTIFS(Table2[Month],"October",Table2[Optional 2],"X")</f>
        <v>0</v>
      </c>
      <c r="K58" s="51">
        <f t="shared" si="11"/>
        <v>0</v>
      </c>
      <c r="L58" s="280"/>
      <c r="M58" s="280"/>
      <c r="N58" s="280"/>
      <c r="O58" s="280"/>
      <c r="P58" s="280"/>
      <c r="Q58" s="280"/>
      <c r="R58" s="280"/>
      <c r="S58" s="280"/>
      <c r="T58" s="280"/>
      <c r="U58" s="280"/>
      <c r="V58" s="280"/>
      <c r="W58" s="280"/>
      <c r="X58" s="280"/>
      <c r="Y58" s="280"/>
      <c r="Z58" s="280"/>
      <c r="AA58" s="293"/>
      <c r="AB58" s="280"/>
      <c r="AC58" s="280"/>
      <c r="AD58" s="280"/>
      <c r="AE58" s="280"/>
      <c r="AF58" s="280"/>
    </row>
    <row r="59" spans="1:32" x14ac:dyDescent="0.3">
      <c r="A59" s="282"/>
      <c r="B59" s="45" t="s">
        <v>117</v>
      </c>
      <c r="C59" s="62">
        <f>COUNTIFS(Table2[Month],"November",Table2[COVID-19],"X")+COUNTIFS(Table2[Month],"November",Table2[Pneumonia],"X")+COUNTIFS(Table2[Month],"November",Table2[Lower Respiratory Tract Infection],"X")+COUNTIFS(Table2[Month],"November",Table2[Upper Respiratory Tract Infection],"X")+COUNTIFS(Table2[Month],"November",Table2[Influenza],"X")</f>
        <v>0</v>
      </c>
      <c r="D59" s="62">
        <f>COUNTIFS(Table2[Month],"November",Table2[Gastroenteritis],"X")+COUNTIFS(Table2[Month],"November",Table2[Norovirus],"X")+COUNTIFS(Table2[Month],"November",Table2[C. difficile],"X")</f>
        <v>0</v>
      </c>
      <c r="E59" s="62">
        <f>COUNTIFS(Table2[Month],"November",Table2[CAUTI (catheter-associated UTI)],"X")+COUNTIFS(Table2[Month],"November",Table2[UTI - NO indwelling catheter],"X")</f>
        <v>0</v>
      </c>
      <c r="F59" s="62">
        <f>COUNTIFS(Table2[Month],"November",Table2[Conjunctivitis],"X")+COUNTIFS(Table2[Month],"November",Table2[Mouth/Perioral infection],"X")</f>
        <v>0</v>
      </c>
      <c r="G59" s="62">
        <f>COUNTIFS(Table2[Month],"November",Table2[Cellulitis/Soft Tissue/Wound],"X")+COUNTIFS(Table2[Month],"November",Table2[Fungal],"X")+COUNTIFS(Table2[Month],"November",Table2[Herpes virus],"X")+COUNTIFS(Table2[Month],"November",Table2[Scabies],"X")</f>
        <v>0</v>
      </c>
      <c r="H59" s="62">
        <f>COUNTIFS(Table2[Month],"November",Table2[Primary Bloodstream Infection],"X")+COUNTIFS(Table2[Month],"November",Table2[Unexplained febrile episode],"X")</f>
        <v>0</v>
      </c>
      <c r="I59" s="62">
        <f>COUNTIFS(Table2[Month],"November",Table2[Optional 1],"X")</f>
        <v>0</v>
      </c>
      <c r="J59" s="62">
        <f>COUNTIFS(Table2[Month],"November",Table2[Optional 2],"X")</f>
        <v>0</v>
      </c>
      <c r="K59" s="51">
        <f t="shared" si="11"/>
        <v>0</v>
      </c>
      <c r="L59" s="280"/>
      <c r="M59" s="280"/>
      <c r="N59" s="280"/>
      <c r="O59" s="280"/>
      <c r="P59" s="280"/>
      <c r="Q59" s="280"/>
      <c r="R59" s="280"/>
      <c r="S59" s="280"/>
      <c r="T59" s="280"/>
      <c r="U59" s="280"/>
      <c r="V59" s="280"/>
      <c r="W59" s="280"/>
      <c r="X59" s="280"/>
      <c r="Y59" s="280"/>
      <c r="Z59" s="280"/>
      <c r="AA59" s="293"/>
      <c r="AB59" s="280"/>
      <c r="AC59" s="280"/>
      <c r="AD59" s="280"/>
      <c r="AE59" s="280"/>
      <c r="AF59" s="280"/>
    </row>
    <row r="60" spans="1:32" ht="14.4" thickBot="1" x14ac:dyDescent="0.35">
      <c r="A60" s="282"/>
      <c r="B60" s="60" t="s">
        <v>118</v>
      </c>
      <c r="C60" s="63">
        <f>COUNTIFS(Table2[Month],"December",Table2[COVID-19],"X")+COUNTIFS(Table2[Month],"December",Table2[Pneumonia],"X")+COUNTIFS(Table2[Month],"December",Table2[Lower Respiratory Tract Infection],"X")+COUNTIFS(Table2[Month],"December",Table2[Upper Respiratory Tract Infection],"X")+COUNTIFS(Table2[Month],"December",Table2[Influenza],"X")</f>
        <v>0</v>
      </c>
      <c r="D60" s="63">
        <f>COUNTIFS(Table2[Month],"December",Table2[Gastroenteritis],"X")+COUNTIFS(Table2[Month],"December",Table2[Norovirus],"X")+COUNTIFS(Table2[Month],"December",Table2[C. difficile],"X")</f>
        <v>0</v>
      </c>
      <c r="E60" s="63">
        <f>COUNTIFS(Table2[Month],"December",Table2[CAUTI (catheter-associated UTI)],"X")+COUNTIFS(Table2[Month],"December",Table2[UTI - NO indwelling catheter],"X")</f>
        <v>0</v>
      </c>
      <c r="F60" s="63">
        <f>COUNTIFS(Table2[Month],"December",Table2[Conjunctivitis],"X")+COUNTIFS(Table2[Month],"December",Table2[Mouth/Perioral infection],"X")</f>
        <v>0</v>
      </c>
      <c r="G60" s="63">
        <f>COUNTIFS(Table2[Month],"December",Table2[Cellulitis/Soft Tissue/Wound],"X")+COUNTIFS(Table2[Month],"December",Table2[Fungal],"X")+COUNTIFS(Table2[Month],"December",Table2[Herpes virus],"X")+COUNTIFS(Table2[Month],"December",Table2[Scabies],"X")</f>
        <v>0</v>
      </c>
      <c r="H60" s="63">
        <f>COUNTIFS(Table2[Month],"December",Table2[Primary Bloodstream Infection],"X")+COUNTIFS(Table2[Month],"December",Table2[Unexplained febrile episode],"X")</f>
        <v>0</v>
      </c>
      <c r="I60" s="63">
        <f>COUNTIFS(Table2[Month],"December",Table2[Optional 1],"X")</f>
        <v>0</v>
      </c>
      <c r="J60" s="63">
        <f>COUNTIFS(Table2[Month],"December",Table2[Optional 2],"X")</f>
        <v>0</v>
      </c>
      <c r="K60" s="59">
        <f t="shared" si="11"/>
        <v>0</v>
      </c>
      <c r="L60" s="280"/>
      <c r="M60" s="280"/>
      <c r="N60" s="280"/>
      <c r="O60" s="280"/>
      <c r="P60" s="280"/>
      <c r="Q60" s="280"/>
      <c r="R60" s="280"/>
      <c r="S60" s="280"/>
      <c r="T60" s="280"/>
      <c r="U60" s="280"/>
      <c r="V60" s="280"/>
      <c r="W60" s="280"/>
      <c r="X60" s="280"/>
      <c r="Y60" s="280"/>
      <c r="Z60" s="280"/>
      <c r="AA60" s="293"/>
      <c r="AB60" s="280"/>
      <c r="AC60" s="280"/>
      <c r="AD60" s="280"/>
      <c r="AE60" s="280"/>
      <c r="AF60" s="280"/>
    </row>
    <row r="61" spans="1:32" ht="14.4" thickBot="1" x14ac:dyDescent="0.35">
      <c r="A61" s="282"/>
      <c r="B61" s="54" t="s">
        <v>68</v>
      </c>
      <c r="C61" s="55">
        <f t="shared" ref="C61:K61" si="12">SUM(C49:C60)</f>
        <v>0</v>
      </c>
      <c r="D61" s="56">
        <f t="shared" si="12"/>
        <v>0</v>
      </c>
      <c r="E61" s="56">
        <f t="shared" si="12"/>
        <v>0</v>
      </c>
      <c r="F61" s="57">
        <f t="shared" si="12"/>
        <v>0</v>
      </c>
      <c r="G61" s="57">
        <f t="shared" si="12"/>
        <v>0</v>
      </c>
      <c r="H61" s="57">
        <f t="shared" si="12"/>
        <v>0</v>
      </c>
      <c r="I61" s="56">
        <f t="shared" si="12"/>
        <v>0</v>
      </c>
      <c r="J61" s="58">
        <f t="shared" si="12"/>
        <v>0</v>
      </c>
      <c r="K61" s="52">
        <f t="shared" si="12"/>
        <v>0</v>
      </c>
      <c r="L61" s="280"/>
      <c r="M61" s="280"/>
      <c r="N61" s="280"/>
      <c r="O61" s="280"/>
      <c r="P61" s="280"/>
      <c r="Q61" s="280"/>
      <c r="R61" s="280"/>
      <c r="S61" s="280"/>
      <c r="T61" s="280"/>
      <c r="U61" s="280"/>
      <c r="V61" s="280"/>
      <c r="W61" s="280"/>
      <c r="X61" s="280"/>
      <c r="Y61" s="280"/>
      <c r="Z61" s="280"/>
      <c r="AA61" s="293"/>
      <c r="AB61" s="280"/>
      <c r="AC61" s="280"/>
      <c r="AD61" s="280"/>
      <c r="AE61" s="280"/>
      <c r="AF61" s="280"/>
    </row>
    <row r="62" spans="1:32" x14ac:dyDescent="0.3">
      <c r="A62" s="282"/>
      <c r="B62" s="280"/>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93"/>
      <c r="AB62" s="280"/>
      <c r="AC62" s="280"/>
      <c r="AD62" s="280"/>
      <c r="AE62" s="280"/>
      <c r="AF62" s="280"/>
    </row>
    <row r="63" spans="1:32" x14ac:dyDescent="0.3">
      <c r="A63" s="282"/>
      <c r="B63" s="280"/>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93"/>
      <c r="AB63" s="280"/>
      <c r="AC63" s="280"/>
      <c r="AD63" s="280"/>
      <c r="AE63" s="280"/>
      <c r="AF63" s="280"/>
    </row>
    <row r="64" spans="1:32" x14ac:dyDescent="0.3">
      <c r="A64" s="282"/>
      <c r="B64" s="280"/>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93"/>
      <c r="AB64" s="280"/>
      <c r="AC64" s="280"/>
      <c r="AD64" s="280"/>
      <c r="AE64" s="280"/>
      <c r="AF64" s="280"/>
    </row>
    <row r="65" spans="1:32" x14ac:dyDescent="0.3">
      <c r="A65" s="282"/>
      <c r="B65" s="280"/>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93"/>
      <c r="AB65" s="280"/>
      <c r="AC65" s="280"/>
      <c r="AD65" s="280"/>
      <c r="AE65" s="280"/>
      <c r="AF65" s="280"/>
    </row>
    <row r="66" spans="1:32" x14ac:dyDescent="0.3">
      <c r="A66" s="282"/>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93"/>
      <c r="AB66" s="280"/>
      <c r="AC66" s="280"/>
      <c r="AD66" s="280"/>
      <c r="AE66" s="280"/>
      <c r="AF66" s="280"/>
    </row>
    <row r="67" spans="1:32" x14ac:dyDescent="0.3">
      <c r="A67" s="282"/>
      <c r="B67" s="280"/>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93"/>
      <c r="AB67" s="280"/>
      <c r="AC67" s="280"/>
      <c r="AD67" s="280"/>
      <c r="AE67" s="280"/>
      <c r="AF67" s="280"/>
    </row>
    <row r="68" spans="1:32" ht="14.4" thickBot="1" x14ac:dyDescent="0.35">
      <c r="A68" s="283"/>
      <c r="B68" s="281"/>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94"/>
      <c r="AB68" s="280"/>
      <c r="AC68" s="280"/>
      <c r="AD68" s="280"/>
      <c r="AE68" s="280"/>
      <c r="AF68" s="280"/>
    </row>
  </sheetData>
  <mergeCells count="11">
    <mergeCell ref="A1:Y1"/>
    <mergeCell ref="B3:K3"/>
    <mergeCell ref="O3:X3"/>
    <mergeCell ref="A2:Z2"/>
    <mergeCell ref="B62:K68"/>
    <mergeCell ref="A47:A68"/>
    <mergeCell ref="A19:AF45"/>
    <mergeCell ref="AB46:AF68"/>
    <mergeCell ref="A46:AA46"/>
    <mergeCell ref="L47:AA68"/>
    <mergeCell ref="B47:K47"/>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E7CBD"/>
  </sheetPr>
  <dimension ref="B6:B33"/>
  <sheetViews>
    <sheetView showGridLines="0" workbookViewId="0">
      <selection activeCell="T2" sqref="T2"/>
    </sheetView>
  </sheetViews>
  <sheetFormatPr defaultColWidth="9.109375" defaultRowHeight="14.4" x14ac:dyDescent="0.3"/>
  <sheetData>
    <row r="6" spans="2:2" ht="18" x14ac:dyDescent="0.3">
      <c r="B6" s="104" t="s">
        <v>300</v>
      </c>
    </row>
    <row r="8" spans="2:2" x14ac:dyDescent="0.3">
      <c r="B8" t="s">
        <v>229</v>
      </c>
    </row>
    <row r="10" spans="2:2" x14ac:dyDescent="0.3">
      <c r="B10" t="s">
        <v>231</v>
      </c>
    </row>
    <row r="11" spans="2:2" x14ac:dyDescent="0.3">
      <c r="B11" t="s">
        <v>230</v>
      </c>
    </row>
    <row r="13" spans="2:2" x14ac:dyDescent="0.3">
      <c r="B13" t="s">
        <v>235</v>
      </c>
    </row>
    <row r="14" spans="2:2" x14ac:dyDescent="0.3">
      <c r="B14" t="s">
        <v>236</v>
      </c>
    </row>
    <row r="16" spans="2:2" x14ac:dyDescent="0.3">
      <c r="B16" t="s">
        <v>238</v>
      </c>
    </row>
    <row r="17" spans="2:2" x14ac:dyDescent="0.3">
      <c r="B17" t="s">
        <v>237</v>
      </c>
    </row>
    <row r="19" spans="2:2" x14ac:dyDescent="0.3">
      <c r="B19" t="s">
        <v>258</v>
      </c>
    </row>
    <row r="20" spans="2:2" x14ac:dyDescent="0.3">
      <c r="B20" t="s">
        <v>244</v>
      </c>
    </row>
    <row r="21" spans="2:2" x14ac:dyDescent="0.3">
      <c r="B21" t="s">
        <v>259</v>
      </c>
    </row>
    <row r="22" spans="2:2" x14ac:dyDescent="0.3">
      <c r="B22" t="s">
        <v>260</v>
      </c>
    </row>
    <row r="24" spans="2:2" x14ac:dyDescent="0.3">
      <c r="B24" t="s">
        <v>257</v>
      </c>
    </row>
    <row r="25" spans="2:2" x14ac:dyDescent="0.3">
      <c r="B25" t="s">
        <v>191</v>
      </c>
    </row>
    <row r="27" spans="2:2" x14ac:dyDescent="0.3">
      <c r="B27" t="s">
        <v>227</v>
      </c>
    </row>
    <row r="28" spans="2:2" x14ac:dyDescent="0.3">
      <c r="B28" t="s">
        <v>232</v>
      </c>
    </row>
    <row r="30" spans="2:2" x14ac:dyDescent="0.3">
      <c r="B30" t="s">
        <v>233</v>
      </c>
    </row>
    <row r="31" spans="2:2" x14ac:dyDescent="0.3">
      <c r="B31" t="s">
        <v>234</v>
      </c>
    </row>
    <row r="33" spans="2:2" x14ac:dyDescent="0.3">
      <c r="B33" t="s">
        <v>256</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AFD7"/>
  </sheetPr>
  <dimension ref="A1:AD228"/>
  <sheetViews>
    <sheetView showGridLines="0" workbookViewId="0">
      <pane ySplit="1" topLeftCell="A2" activePane="bottomLeft" state="frozen"/>
      <selection pane="bottomLeft" activeCell="N4" sqref="N4"/>
    </sheetView>
  </sheetViews>
  <sheetFormatPr defaultColWidth="9.109375" defaultRowHeight="13.8" x14ac:dyDescent="0.3"/>
  <cols>
    <col min="1" max="1" width="6.88671875" style="10" customWidth="1"/>
    <col min="2" max="2" width="19.5546875" style="10" customWidth="1"/>
    <col min="3" max="3" width="14.33203125" style="10" customWidth="1"/>
    <col min="4" max="4" width="8.109375" style="10" customWidth="1"/>
    <col min="5" max="5" width="14" style="10" customWidth="1"/>
    <col min="6" max="6" width="17.6640625" style="10" customWidth="1"/>
    <col min="7" max="9" width="11.6640625" style="10" customWidth="1"/>
    <col min="10" max="13" width="11.6640625" style="25" customWidth="1"/>
    <col min="14" max="14" width="21.88671875" style="25" customWidth="1"/>
    <col min="15" max="15" width="15.33203125" style="25" customWidth="1"/>
    <col min="16" max="16" width="18.5546875" style="25" customWidth="1"/>
    <col min="17" max="17" width="10.6640625" style="25" customWidth="1"/>
    <col min="18" max="18" width="12.88671875" style="25" customWidth="1"/>
    <col min="19" max="19" width="16.44140625" style="10" bestFit="1" customWidth="1"/>
    <col min="20" max="20" width="23.5546875" style="10" customWidth="1"/>
    <col min="21" max="21" width="12.44140625" style="10" customWidth="1"/>
    <col min="22" max="22" width="11.33203125" style="10" customWidth="1"/>
    <col min="23" max="23" width="24.33203125" style="10" customWidth="1"/>
    <col min="24" max="16384" width="9.109375" style="10"/>
  </cols>
  <sheetData>
    <row r="1" spans="1:30" ht="21" x14ac:dyDescent="0.4">
      <c r="A1" s="295" t="s">
        <v>130</v>
      </c>
      <c r="B1" s="296"/>
      <c r="C1" s="296"/>
      <c r="D1" s="296"/>
      <c r="E1" s="296"/>
      <c r="F1" s="296"/>
      <c r="G1" s="296"/>
      <c r="H1" s="296"/>
      <c r="I1" s="296"/>
      <c r="J1" s="296"/>
      <c r="K1" s="296"/>
      <c r="L1" s="296"/>
      <c r="M1" s="296"/>
      <c r="N1" s="296"/>
      <c r="O1" s="26"/>
      <c r="P1" s="26"/>
      <c r="Q1" s="26"/>
      <c r="R1" s="26"/>
      <c r="S1" s="26"/>
      <c r="T1" s="26"/>
      <c r="U1" s="26"/>
      <c r="V1" s="26"/>
      <c r="W1" s="26"/>
    </row>
    <row r="2" spans="1:30" ht="34.5" customHeight="1" x14ac:dyDescent="0.3">
      <c r="A2" s="83"/>
      <c r="B2" s="84"/>
      <c r="C2" s="85" t="s">
        <v>301</v>
      </c>
      <c r="D2" s="301"/>
      <c r="E2" s="301"/>
      <c r="F2" s="11"/>
      <c r="G2" s="303" t="s">
        <v>151</v>
      </c>
      <c r="H2" s="303"/>
      <c r="I2" s="303"/>
      <c r="J2" s="303"/>
      <c r="K2" s="303"/>
      <c r="L2" s="303"/>
      <c r="M2" s="303"/>
      <c r="N2" s="303"/>
      <c r="O2" s="12"/>
      <c r="P2" s="12"/>
      <c r="Q2" s="12"/>
      <c r="R2" s="12"/>
      <c r="S2" s="11"/>
      <c r="T2" s="11"/>
      <c r="U2" s="11"/>
      <c r="V2" s="11"/>
      <c r="W2" s="11"/>
      <c r="AD2" s="10" t="s">
        <v>136</v>
      </c>
    </row>
    <row r="3" spans="1:30" ht="15.75" customHeight="1" thickBot="1" x14ac:dyDescent="0.35">
      <c r="A3" s="86"/>
      <c r="B3" s="87"/>
      <c r="C3" s="85" t="s">
        <v>121</v>
      </c>
      <c r="D3" s="302"/>
      <c r="E3" s="302"/>
      <c r="F3" s="13"/>
      <c r="G3" s="13"/>
      <c r="H3" s="13"/>
      <c r="I3" s="191"/>
      <c r="J3" s="14"/>
      <c r="K3" s="14"/>
      <c r="L3" s="14"/>
      <c r="M3" s="14"/>
      <c r="N3" s="14"/>
      <c r="O3" s="14"/>
      <c r="P3" s="14"/>
      <c r="Q3" s="14"/>
      <c r="R3" s="14"/>
      <c r="S3" s="280"/>
      <c r="T3" s="280"/>
      <c r="U3" s="280"/>
      <c r="V3" s="280"/>
      <c r="W3" s="280"/>
      <c r="AD3" s="10" t="s">
        <v>137</v>
      </c>
    </row>
    <row r="4" spans="1:30" ht="15" customHeight="1" x14ac:dyDescent="0.3">
      <c r="A4" s="86"/>
      <c r="B4" s="87"/>
      <c r="C4" s="85"/>
      <c r="D4" s="13"/>
      <c r="E4" s="13"/>
      <c r="F4" s="13"/>
      <c r="G4" s="297" t="s">
        <v>79</v>
      </c>
      <c r="H4" s="298"/>
      <c r="I4" s="197" t="s">
        <v>306</v>
      </c>
      <c r="J4" s="299" t="s">
        <v>82</v>
      </c>
      <c r="K4" s="300"/>
      <c r="L4" s="304" t="s">
        <v>81</v>
      </c>
      <c r="M4" s="305"/>
      <c r="N4" s="14"/>
      <c r="O4" s="14"/>
      <c r="P4" s="14"/>
      <c r="Q4" s="14"/>
      <c r="R4" s="14"/>
      <c r="S4" s="191"/>
      <c r="T4" s="191"/>
      <c r="U4" s="191"/>
      <c r="V4" s="191"/>
      <c r="W4" s="191"/>
    </row>
    <row r="5" spans="1:30" s="15" customFormat="1" ht="78.75" customHeight="1" x14ac:dyDescent="0.3">
      <c r="A5" s="88" t="s">
        <v>1</v>
      </c>
      <c r="B5" s="89" t="s">
        <v>2</v>
      </c>
      <c r="C5" s="90" t="s">
        <v>272</v>
      </c>
      <c r="D5" s="90" t="s">
        <v>9</v>
      </c>
      <c r="E5" s="91" t="s">
        <v>154</v>
      </c>
      <c r="F5" s="91" t="s">
        <v>276</v>
      </c>
      <c r="G5" s="91" t="s">
        <v>138</v>
      </c>
      <c r="H5" s="92" t="s">
        <v>139</v>
      </c>
      <c r="I5" s="92" t="s">
        <v>304</v>
      </c>
      <c r="J5" s="91" t="s">
        <v>141</v>
      </c>
      <c r="K5" s="92" t="s">
        <v>142</v>
      </c>
      <c r="L5" s="91" t="s">
        <v>307</v>
      </c>
      <c r="M5" s="92" t="s">
        <v>308</v>
      </c>
      <c r="N5" s="93" t="s">
        <v>8</v>
      </c>
    </row>
    <row r="6" spans="1:30" ht="15" customHeight="1" x14ac:dyDescent="0.3">
      <c r="A6" s="170"/>
      <c r="B6" s="16"/>
      <c r="C6" s="17"/>
      <c r="D6" s="18"/>
      <c r="E6" s="19"/>
      <c r="F6" s="163"/>
      <c r="G6" s="166"/>
      <c r="H6" s="167"/>
      <c r="I6" s="169"/>
      <c r="J6" s="168"/>
      <c r="K6" s="169"/>
      <c r="L6" s="168"/>
      <c r="M6" s="169"/>
      <c r="N6" s="28"/>
      <c r="O6" s="10"/>
      <c r="P6" s="10"/>
      <c r="Q6" s="10"/>
      <c r="R6" s="10"/>
    </row>
    <row r="7" spans="1:30" ht="15" customHeight="1" x14ac:dyDescent="0.3">
      <c r="A7" s="170"/>
      <c r="B7" s="16"/>
      <c r="C7" s="17"/>
      <c r="D7" s="18"/>
      <c r="E7" s="19"/>
      <c r="F7" s="163"/>
      <c r="G7" s="170"/>
      <c r="H7" s="171"/>
      <c r="I7" s="173"/>
      <c r="J7" s="172"/>
      <c r="K7" s="173"/>
      <c r="L7" s="172"/>
      <c r="M7" s="173"/>
      <c r="N7" s="27"/>
      <c r="O7" s="10"/>
      <c r="P7" s="10"/>
      <c r="Q7" s="10"/>
      <c r="R7" s="10"/>
    </row>
    <row r="8" spans="1:30" ht="15" customHeight="1" x14ac:dyDescent="0.3">
      <c r="A8" s="170"/>
      <c r="B8" s="16"/>
      <c r="C8" s="17"/>
      <c r="D8" s="18"/>
      <c r="E8" s="19"/>
      <c r="F8" s="163"/>
      <c r="G8" s="166"/>
      <c r="H8" s="167"/>
      <c r="I8" s="169"/>
      <c r="J8" s="168"/>
      <c r="K8" s="169"/>
      <c r="L8" s="168"/>
      <c r="M8" s="169"/>
      <c r="N8" s="29"/>
      <c r="O8" s="10"/>
      <c r="P8" s="10"/>
      <c r="Q8" s="10"/>
      <c r="R8" s="10"/>
    </row>
    <row r="9" spans="1:30" ht="15" customHeight="1" x14ac:dyDescent="0.3">
      <c r="A9" s="170"/>
      <c r="B9" s="16"/>
      <c r="C9" s="17"/>
      <c r="D9" s="18"/>
      <c r="E9" s="19"/>
      <c r="F9" s="163"/>
      <c r="G9" s="170"/>
      <c r="H9" s="171"/>
      <c r="I9" s="173"/>
      <c r="J9" s="172"/>
      <c r="K9" s="173"/>
      <c r="L9" s="172"/>
      <c r="M9" s="173"/>
      <c r="N9" s="27"/>
      <c r="O9" s="10"/>
      <c r="P9" s="10"/>
      <c r="Q9" s="10"/>
      <c r="R9" s="10"/>
    </row>
    <row r="10" spans="1:30" ht="15" customHeight="1" x14ac:dyDescent="0.3">
      <c r="A10" s="170"/>
      <c r="B10" s="16"/>
      <c r="C10" s="17"/>
      <c r="D10" s="18"/>
      <c r="E10" s="19"/>
      <c r="F10" s="163"/>
      <c r="G10" s="170"/>
      <c r="H10" s="171"/>
      <c r="I10" s="173"/>
      <c r="J10" s="172"/>
      <c r="K10" s="173"/>
      <c r="L10" s="172"/>
      <c r="M10" s="173"/>
      <c r="N10" s="27"/>
      <c r="O10" s="10"/>
      <c r="P10" s="10"/>
      <c r="Q10" s="10"/>
      <c r="R10" s="10"/>
    </row>
    <row r="11" spans="1:30" ht="15" customHeight="1" x14ac:dyDescent="0.3">
      <c r="A11" s="170"/>
      <c r="B11" s="16"/>
      <c r="C11" s="17"/>
      <c r="D11" s="18"/>
      <c r="E11" s="19"/>
      <c r="F11" s="163"/>
      <c r="G11" s="170"/>
      <c r="H11" s="171"/>
      <c r="I11" s="173"/>
      <c r="J11" s="172"/>
      <c r="K11" s="173"/>
      <c r="L11" s="172"/>
      <c r="M11" s="173"/>
      <c r="N11" s="27"/>
      <c r="O11" s="10"/>
      <c r="P11" s="10"/>
      <c r="Q11" s="10"/>
      <c r="R11" s="10"/>
    </row>
    <row r="12" spans="1:30" ht="15" customHeight="1" x14ac:dyDescent="0.3">
      <c r="A12" s="170"/>
      <c r="B12" s="16"/>
      <c r="C12" s="17"/>
      <c r="D12" s="18"/>
      <c r="E12" s="19"/>
      <c r="F12" s="163"/>
      <c r="G12" s="170"/>
      <c r="H12" s="171"/>
      <c r="I12" s="173"/>
      <c r="J12" s="172"/>
      <c r="K12" s="173"/>
      <c r="L12" s="172"/>
      <c r="M12" s="173"/>
      <c r="N12" s="27"/>
      <c r="O12" s="10"/>
      <c r="P12" s="10"/>
      <c r="Q12" s="10"/>
      <c r="R12" s="10"/>
    </row>
    <row r="13" spans="1:30" ht="14.4" customHeight="1" x14ac:dyDescent="0.3">
      <c r="A13" s="170"/>
      <c r="B13" s="16"/>
      <c r="C13" s="17"/>
      <c r="D13" s="18"/>
      <c r="E13" s="19"/>
      <c r="F13" s="163"/>
      <c r="G13" s="170"/>
      <c r="H13" s="171"/>
      <c r="I13" s="173"/>
      <c r="J13" s="172"/>
      <c r="K13" s="173"/>
      <c r="L13" s="172"/>
      <c r="M13" s="173"/>
      <c r="N13" s="27"/>
      <c r="O13" s="10"/>
      <c r="P13" s="10"/>
      <c r="Q13" s="10"/>
      <c r="R13" s="10"/>
    </row>
    <row r="14" spans="1:30" ht="15" customHeight="1" x14ac:dyDescent="0.3">
      <c r="A14" s="170"/>
      <c r="B14" s="16"/>
      <c r="C14" s="17"/>
      <c r="D14" s="18"/>
      <c r="E14" s="19"/>
      <c r="F14" s="163"/>
      <c r="G14" s="170"/>
      <c r="H14" s="171"/>
      <c r="I14" s="173"/>
      <c r="J14" s="172"/>
      <c r="K14" s="173"/>
      <c r="L14" s="172"/>
      <c r="M14" s="173"/>
      <c r="N14" s="27"/>
      <c r="O14" s="10"/>
      <c r="P14" s="10"/>
      <c r="Q14" s="10"/>
      <c r="R14" s="10"/>
    </row>
    <row r="15" spans="1:30" ht="15" customHeight="1" x14ac:dyDescent="0.3">
      <c r="A15" s="170"/>
      <c r="B15" s="20"/>
      <c r="C15" s="21"/>
      <c r="D15" s="22"/>
      <c r="E15" s="23"/>
      <c r="F15" s="164"/>
      <c r="G15" s="170"/>
      <c r="H15" s="171"/>
      <c r="I15" s="173"/>
      <c r="J15" s="172"/>
      <c r="K15" s="173"/>
      <c r="L15" s="172"/>
      <c r="M15" s="173"/>
      <c r="N15" s="27"/>
      <c r="O15" s="10"/>
      <c r="P15" s="10"/>
      <c r="Q15" s="10"/>
      <c r="R15" s="10"/>
    </row>
    <row r="16" spans="1:30" ht="15" customHeight="1" x14ac:dyDescent="0.3">
      <c r="A16" s="170"/>
      <c r="B16" s="20"/>
      <c r="C16" s="21"/>
      <c r="D16" s="22"/>
      <c r="E16" s="23"/>
      <c r="F16" s="164"/>
      <c r="G16" s="170"/>
      <c r="H16" s="171"/>
      <c r="I16" s="173"/>
      <c r="J16" s="172"/>
      <c r="K16" s="173"/>
      <c r="L16" s="172"/>
      <c r="M16" s="173"/>
      <c r="N16" s="27"/>
      <c r="O16" s="10"/>
      <c r="P16" s="10"/>
      <c r="Q16" s="10"/>
      <c r="R16" s="10"/>
    </row>
    <row r="17" spans="1:18" ht="15" customHeight="1" x14ac:dyDescent="0.3">
      <c r="A17" s="170"/>
      <c r="B17" s="20"/>
      <c r="C17" s="21"/>
      <c r="D17" s="22"/>
      <c r="E17" s="23"/>
      <c r="F17" s="164"/>
      <c r="G17" s="170"/>
      <c r="H17" s="171"/>
      <c r="I17" s="173"/>
      <c r="J17" s="172"/>
      <c r="K17" s="173"/>
      <c r="L17" s="172"/>
      <c r="M17" s="173"/>
      <c r="N17" s="27"/>
      <c r="O17" s="10"/>
      <c r="P17" s="10"/>
      <c r="Q17" s="10"/>
      <c r="R17" s="10"/>
    </row>
    <row r="18" spans="1:18" ht="15" customHeight="1" x14ac:dyDescent="0.3">
      <c r="A18" s="170"/>
      <c r="B18" s="20"/>
      <c r="C18" s="21"/>
      <c r="D18" s="22"/>
      <c r="E18" s="23"/>
      <c r="F18" s="164"/>
      <c r="G18" s="170"/>
      <c r="H18" s="171"/>
      <c r="I18" s="173"/>
      <c r="J18" s="172"/>
      <c r="K18" s="173"/>
      <c r="L18" s="172"/>
      <c r="M18" s="173"/>
      <c r="N18" s="27"/>
      <c r="O18" s="10"/>
      <c r="P18" s="10"/>
      <c r="Q18" s="10"/>
      <c r="R18" s="10"/>
    </row>
    <row r="19" spans="1:18" ht="15" customHeight="1" x14ac:dyDescent="0.3">
      <c r="A19" s="170"/>
      <c r="B19" s="20"/>
      <c r="C19" s="21"/>
      <c r="D19" s="22"/>
      <c r="E19" s="23"/>
      <c r="F19" s="164"/>
      <c r="G19" s="170"/>
      <c r="H19" s="171"/>
      <c r="I19" s="173"/>
      <c r="J19" s="172"/>
      <c r="K19" s="173"/>
      <c r="L19" s="172"/>
      <c r="M19" s="173"/>
      <c r="N19" s="27"/>
      <c r="O19" s="10"/>
      <c r="P19" s="10"/>
      <c r="Q19" s="10"/>
      <c r="R19" s="10"/>
    </row>
    <row r="20" spans="1:18" ht="15" customHeight="1" x14ac:dyDescent="0.3">
      <c r="A20" s="170"/>
      <c r="B20" s="20"/>
      <c r="C20" s="21"/>
      <c r="D20" s="22"/>
      <c r="E20" s="23"/>
      <c r="F20" s="164"/>
      <c r="G20" s="170"/>
      <c r="H20" s="171"/>
      <c r="I20" s="173"/>
      <c r="J20" s="172"/>
      <c r="K20" s="173"/>
      <c r="L20" s="172"/>
      <c r="M20" s="173"/>
      <c r="N20" s="27"/>
      <c r="O20" s="10"/>
      <c r="P20" s="10"/>
      <c r="Q20" s="10"/>
      <c r="R20" s="10"/>
    </row>
    <row r="21" spans="1:18" ht="15" customHeight="1" x14ac:dyDescent="0.3">
      <c r="A21" s="170"/>
      <c r="B21" s="20"/>
      <c r="C21" s="21"/>
      <c r="D21" s="22"/>
      <c r="E21" s="23"/>
      <c r="F21" s="164"/>
      <c r="G21" s="170"/>
      <c r="H21" s="171"/>
      <c r="I21" s="173"/>
      <c r="J21" s="172"/>
      <c r="K21" s="173"/>
      <c r="L21" s="172"/>
      <c r="M21" s="173"/>
      <c r="N21" s="27"/>
      <c r="O21" s="10"/>
      <c r="P21" s="10"/>
      <c r="Q21" s="10"/>
      <c r="R21" s="10"/>
    </row>
    <row r="22" spans="1:18" ht="15" customHeight="1" x14ac:dyDescent="0.3">
      <c r="A22" s="170"/>
      <c r="B22" s="20"/>
      <c r="C22" s="21"/>
      <c r="D22" s="22"/>
      <c r="E22" s="23"/>
      <c r="F22" s="164"/>
      <c r="G22" s="170"/>
      <c r="H22" s="171"/>
      <c r="I22" s="173"/>
      <c r="J22" s="172"/>
      <c r="K22" s="173"/>
      <c r="L22" s="172"/>
      <c r="M22" s="173"/>
      <c r="N22" s="27"/>
      <c r="O22" s="10"/>
      <c r="P22" s="10"/>
      <c r="Q22" s="10"/>
      <c r="R22" s="10"/>
    </row>
    <row r="23" spans="1:18" ht="12" customHeight="1" x14ac:dyDescent="0.3">
      <c r="A23" s="170"/>
      <c r="B23" s="20"/>
      <c r="C23" s="21"/>
      <c r="D23" s="22"/>
      <c r="E23" s="23"/>
      <c r="F23" s="164"/>
      <c r="G23" s="170"/>
      <c r="H23" s="171"/>
      <c r="I23" s="173"/>
      <c r="J23" s="172"/>
      <c r="K23" s="173"/>
      <c r="L23" s="172"/>
      <c r="M23" s="173"/>
      <c r="N23" s="30"/>
      <c r="O23" s="10"/>
      <c r="P23" s="10"/>
      <c r="Q23" s="10"/>
      <c r="R23" s="10"/>
    </row>
    <row r="24" spans="1:18" ht="15" customHeight="1" x14ac:dyDescent="0.3">
      <c r="A24" s="170"/>
      <c r="B24" s="20"/>
      <c r="C24" s="21"/>
      <c r="D24" s="22"/>
      <c r="E24" s="23"/>
      <c r="F24" s="164"/>
      <c r="G24" s="170"/>
      <c r="H24" s="171"/>
      <c r="I24" s="173"/>
      <c r="J24" s="172"/>
      <c r="K24" s="173"/>
      <c r="L24" s="172"/>
      <c r="M24" s="173"/>
      <c r="N24" s="30"/>
      <c r="O24" s="10"/>
      <c r="P24" s="10"/>
      <c r="Q24" s="10"/>
      <c r="R24" s="10"/>
    </row>
    <row r="25" spans="1:18" ht="15" customHeight="1" x14ac:dyDescent="0.3">
      <c r="A25" s="170"/>
      <c r="B25" s="20"/>
      <c r="C25" s="21"/>
      <c r="D25" s="22"/>
      <c r="E25" s="23"/>
      <c r="F25" s="164"/>
      <c r="G25" s="170"/>
      <c r="H25" s="171"/>
      <c r="I25" s="173"/>
      <c r="J25" s="172"/>
      <c r="K25" s="173"/>
      <c r="L25" s="172"/>
      <c r="M25" s="173"/>
      <c r="N25" s="30"/>
      <c r="O25" s="10"/>
      <c r="P25" s="10"/>
      <c r="Q25" s="10"/>
      <c r="R25" s="10"/>
    </row>
    <row r="26" spans="1:18" ht="15" customHeight="1" x14ac:dyDescent="0.3">
      <c r="A26" s="170"/>
      <c r="B26" s="20"/>
      <c r="C26" s="21"/>
      <c r="D26" s="22"/>
      <c r="E26" s="23"/>
      <c r="F26" s="164"/>
      <c r="G26" s="170"/>
      <c r="H26" s="171"/>
      <c r="I26" s="173"/>
      <c r="J26" s="172"/>
      <c r="K26" s="173"/>
      <c r="L26" s="172"/>
      <c r="M26" s="173"/>
      <c r="N26" s="27"/>
      <c r="O26" s="10"/>
      <c r="P26" s="10"/>
      <c r="Q26" s="10"/>
      <c r="R26" s="10"/>
    </row>
    <row r="27" spans="1:18" ht="15" customHeight="1" x14ac:dyDescent="0.3">
      <c r="A27" s="170"/>
      <c r="B27" s="20"/>
      <c r="C27" s="21"/>
      <c r="D27" s="22"/>
      <c r="E27" s="23"/>
      <c r="F27" s="164"/>
      <c r="G27" s="170"/>
      <c r="H27" s="171"/>
      <c r="I27" s="173"/>
      <c r="J27" s="172"/>
      <c r="K27" s="173"/>
      <c r="L27" s="172"/>
      <c r="M27" s="173"/>
      <c r="N27" s="27"/>
      <c r="O27" s="10"/>
      <c r="P27" s="10"/>
      <c r="Q27" s="10"/>
      <c r="R27" s="10"/>
    </row>
    <row r="28" spans="1:18" ht="15" customHeight="1" x14ac:dyDescent="0.3">
      <c r="A28" s="170"/>
      <c r="B28" s="20"/>
      <c r="C28" s="21"/>
      <c r="D28" s="22"/>
      <c r="E28" s="23"/>
      <c r="F28" s="164"/>
      <c r="G28" s="170"/>
      <c r="H28" s="171"/>
      <c r="I28" s="173"/>
      <c r="J28" s="172"/>
      <c r="K28" s="173"/>
      <c r="L28" s="172"/>
      <c r="M28" s="173"/>
      <c r="N28" s="27"/>
      <c r="O28" s="10"/>
      <c r="P28" s="10"/>
      <c r="Q28" s="10"/>
      <c r="R28" s="10"/>
    </row>
    <row r="29" spans="1:18" ht="15" customHeight="1" x14ac:dyDescent="0.3">
      <c r="A29" s="170"/>
      <c r="B29" s="20"/>
      <c r="C29" s="21"/>
      <c r="D29" s="22"/>
      <c r="E29" s="23"/>
      <c r="F29" s="164"/>
      <c r="G29" s="170"/>
      <c r="H29" s="171"/>
      <c r="I29" s="173"/>
      <c r="J29" s="172"/>
      <c r="K29" s="173"/>
      <c r="L29" s="172"/>
      <c r="M29" s="173"/>
      <c r="N29" s="27"/>
      <c r="O29" s="10"/>
      <c r="P29" s="10"/>
      <c r="Q29" s="10"/>
      <c r="R29" s="10"/>
    </row>
    <row r="30" spans="1:18" ht="15" customHeight="1" x14ac:dyDescent="0.3">
      <c r="A30" s="170"/>
      <c r="B30" s="20"/>
      <c r="C30" s="21"/>
      <c r="D30" s="22"/>
      <c r="E30" s="23"/>
      <c r="F30" s="164"/>
      <c r="G30" s="170"/>
      <c r="H30" s="171"/>
      <c r="I30" s="173"/>
      <c r="J30" s="172"/>
      <c r="K30" s="173"/>
      <c r="L30" s="172"/>
      <c r="M30" s="173"/>
      <c r="N30" s="27"/>
      <c r="O30" s="10"/>
      <c r="P30" s="10"/>
      <c r="Q30" s="10"/>
      <c r="R30" s="10"/>
    </row>
    <row r="31" spans="1:18" ht="15" customHeight="1" x14ac:dyDescent="0.3">
      <c r="A31" s="170"/>
      <c r="B31" s="20"/>
      <c r="C31" s="21"/>
      <c r="D31" s="22"/>
      <c r="E31" s="23"/>
      <c r="F31" s="164"/>
      <c r="G31" s="170"/>
      <c r="H31" s="171"/>
      <c r="I31" s="173"/>
      <c r="J31" s="172"/>
      <c r="K31" s="173"/>
      <c r="L31" s="172"/>
      <c r="M31" s="173"/>
      <c r="N31" s="27"/>
      <c r="O31" s="10"/>
      <c r="P31" s="10"/>
      <c r="Q31" s="10"/>
      <c r="R31" s="10"/>
    </row>
    <row r="32" spans="1:18" ht="15" customHeight="1" x14ac:dyDescent="0.3">
      <c r="A32" s="170"/>
      <c r="B32" s="20"/>
      <c r="C32" s="21"/>
      <c r="D32" s="22"/>
      <c r="E32" s="23"/>
      <c r="F32" s="164"/>
      <c r="G32" s="170"/>
      <c r="H32" s="171"/>
      <c r="I32" s="173"/>
      <c r="J32" s="172"/>
      <c r="K32" s="173"/>
      <c r="L32" s="172"/>
      <c r="M32" s="173"/>
      <c r="N32" s="27"/>
      <c r="O32" s="10"/>
      <c r="P32" s="10"/>
      <c r="Q32" s="10"/>
      <c r="R32" s="10"/>
    </row>
    <row r="33" spans="1:18" ht="15" customHeight="1" x14ac:dyDescent="0.3">
      <c r="A33" s="170"/>
      <c r="B33" s="20"/>
      <c r="C33" s="21"/>
      <c r="D33" s="22"/>
      <c r="E33" s="23"/>
      <c r="F33" s="164"/>
      <c r="G33" s="170"/>
      <c r="H33" s="171"/>
      <c r="I33" s="173"/>
      <c r="J33" s="172"/>
      <c r="K33" s="173"/>
      <c r="L33" s="172"/>
      <c r="M33" s="173"/>
      <c r="N33" s="27"/>
      <c r="O33" s="10"/>
      <c r="P33" s="10"/>
      <c r="Q33" s="10"/>
      <c r="R33" s="10"/>
    </row>
    <row r="34" spans="1:18" ht="15" customHeight="1" x14ac:dyDescent="0.3">
      <c r="A34" s="170"/>
      <c r="B34" s="20"/>
      <c r="C34" s="21"/>
      <c r="D34" s="22"/>
      <c r="E34" s="23"/>
      <c r="F34" s="164"/>
      <c r="G34" s="170"/>
      <c r="H34" s="171"/>
      <c r="I34" s="173"/>
      <c r="J34" s="172"/>
      <c r="K34" s="173"/>
      <c r="L34" s="172"/>
      <c r="M34" s="173"/>
      <c r="N34" s="27"/>
      <c r="O34" s="10"/>
      <c r="P34" s="10"/>
      <c r="Q34" s="10"/>
      <c r="R34" s="10"/>
    </row>
    <row r="35" spans="1:18" ht="15" customHeight="1" x14ac:dyDescent="0.3">
      <c r="A35" s="170"/>
      <c r="B35" s="20"/>
      <c r="C35" s="21"/>
      <c r="D35" s="22"/>
      <c r="E35" s="23"/>
      <c r="F35" s="164"/>
      <c r="G35" s="170"/>
      <c r="H35" s="171"/>
      <c r="I35" s="173"/>
      <c r="J35" s="172"/>
      <c r="K35" s="173"/>
      <c r="L35" s="172"/>
      <c r="M35" s="173"/>
      <c r="N35" s="27"/>
      <c r="O35" s="10"/>
      <c r="P35" s="10"/>
      <c r="Q35" s="10"/>
      <c r="R35" s="10"/>
    </row>
    <row r="36" spans="1:18" ht="15" customHeight="1" x14ac:dyDescent="0.3">
      <c r="A36" s="170"/>
      <c r="B36" s="20"/>
      <c r="C36" s="21"/>
      <c r="D36" s="22"/>
      <c r="E36" s="23"/>
      <c r="F36" s="164"/>
      <c r="G36" s="170"/>
      <c r="H36" s="171"/>
      <c r="I36" s="173"/>
      <c r="J36" s="172"/>
      <c r="K36" s="173"/>
      <c r="L36" s="172"/>
      <c r="M36" s="173"/>
      <c r="N36" s="27"/>
      <c r="O36" s="10"/>
      <c r="P36" s="10"/>
      <c r="Q36" s="10"/>
      <c r="R36" s="10"/>
    </row>
    <row r="37" spans="1:18" ht="15" customHeight="1" x14ac:dyDescent="0.3">
      <c r="A37" s="170"/>
      <c r="B37" s="20"/>
      <c r="C37" s="21"/>
      <c r="D37" s="22"/>
      <c r="E37" s="23"/>
      <c r="F37" s="164"/>
      <c r="G37" s="170"/>
      <c r="H37" s="171"/>
      <c r="I37" s="173"/>
      <c r="J37" s="172"/>
      <c r="K37" s="173"/>
      <c r="L37" s="172"/>
      <c r="M37" s="173"/>
      <c r="N37" s="27"/>
      <c r="O37" s="10"/>
      <c r="P37" s="10"/>
      <c r="Q37" s="10"/>
      <c r="R37" s="10"/>
    </row>
    <row r="38" spans="1:18" ht="15" customHeight="1" x14ac:dyDescent="0.3">
      <c r="A38" s="170"/>
      <c r="B38" s="20"/>
      <c r="C38" s="21"/>
      <c r="D38" s="22"/>
      <c r="E38" s="23"/>
      <c r="F38" s="164"/>
      <c r="G38" s="170"/>
      <c r="H38" s="171"/>
      <c r="I38" s="173"/>
      <c r="J38" s="172"/>
      <c r="K38" s="173"/>
      <c r="L38" s="172"/>
      <c r="M38" s="173"/>
      <c r="N38" s="27"/>
      <c r="O38" s="10"/>
      <c r="P38" s="10"/>
      <c r="Q38" s="10"/>
      <c r="R38" s="10"/>
    </row>
    <row r="39" spans="1:18" ht="15" customHeight="1" x14ac:dyDescent="0.3">
      <c r="A39" s="170"/>
      <c r="B39" s="20"/>
      <c r="C39" s="24"/>
      <c r="D39" s="20"/>
      <c r="E39" s="23"/>
      <c r="F39" s="164"/>
      <c r="G39" s="170"/>
      <c r="H39" s="171"/>
      <c r="I39" s="173"/>
      <c r="J39" s="172"/>
      <c r="K39" s="173"/>
      <c r="L39" s="172"/>
      <c r="M39" s="173"/>
      <c r="N39" s="27"/>
      <c r="O39" s="10"/>
      <c r="P39" s="10"/>
      <c r="Q39" s="10"/>
      <c r="R39" s="10"/>
    </row>
    <row r="40" spans="1:18" ht="15" customHeight="1" x14ac:dyDescent="0.3">
      <c r="A40" s="170"/>
      <c r="B40" s="20"/>
      <c r="C40" s="24"/>
      <c r="D40" s="20"/>
      <c r="E40" s="23"/>
      <c r="F40" s="164"/>
      <c r="G40" s="170"/>
      <c r="H40" s="171"/>
      <c r="I40" s="173"/>
      <c r="J40" s="172"/>
      <c r="K40" s="173"/>
      <c r="L40" s="172"/>
      <c r="M40" s="173"/>
      <c r="N40" s="27"/>
      <c r="O40" s="10"/>
      <c r="P40" s="10"/>
      <c r="Q40" s="10"/>
      <c r="R40" s="10"/>
    </row>
    <row r="41" spans="1:18" ht="15" customHeight="1" x14ac:dyDescent="0.3">
      <c r="A41" s="170"/>
      <c r="B41" s="20"/>
      <c r="C41" s="24"/>
      <c r="D41" s="20"/>
      <c r="E41" s="23"/>
      <c r="F41" s="164"/>
      <c r="G41" s="170"/>
      <c r="H41" s="171"/>
      <c r="I41" s="173"/>
      <c r="J41" s="172"/>
      <c r="K41" s="173"/>
      <c r="L41" s="172"/>
      <c r="M41" s="173"/>
      <c r="N41" s="27"/>
      <c r="O41" s="10"/>
      <c r="P41" s="10"/>
      <c r="Q41" s="10"/>
      <c r="R41" s="10"/>
    </row>
    <row r="42" spans="1:18" ht="15" customHeight="1" x14ac:dyDescent="0.3">
      <c r="A42" s="170"/>
      <c r="B42" s="20"/>
      <c r="C42" s="24"/>
      <c r="D42" s="20"/>
      <c r="E42" s="23"/>
      <c r="F42" s="164"/>
      <c r="G42" s="170"/>
      <c r="H42" s="171"/>
      <c r="I42" s="173"/>
      <c r="J42" s="172"/>
      <c r="K42" s="173"/>
      <c r="L42" s="172"/>
      <c r="M42" s="173"/>
      <c r="N42" s="27"/>
      <c r="O42" s="10"/>
      <c r="P42" s="10"/>
      <c r="Q42" s="10"/>
      <c r="R42" s="10"/>
    </row>
    <row r="43" spans="1:18" ht="15" customHeight="1" x14ac:dyDescent="0.3">
      <c r="A43" s="170"/>
      <c r="B43" s="20"/>
      <c r="C43" s="24"/>
      <c r="D43" s="20"/>
      <c r="E43" s="23"/>
      <c r="F43" s="164"/>
      <c r="G43" s="170"/>
      <c r="H43" s="171"/>
      <c r="I43" s="173"/>
      <c r="J43" s="172"/>
      <c r="K43" s="173"/>
      <c r="L43" s="172"/>
      <c r="M43" s="173"/>
      <c r="N43" s="27"/>
      <c r="O43" s="10"/>
      <c r="P43" s="10"/>
      <c r="Q43" s="10"/>
      <c r="R43" s="10"/>
    </row>
    <row r="44" spans="1:18" ht="15" customHeight="1" x14ac:dyDescent="0.3">
      <c r="A44" s="170"/>
      <c r="B44" s="20"/>
      <c r="C44" s="24"/>
      <c r="D44" s="20"/>
      <c r="E44" s="23"/>
      <c r="F44" s="164"/>
      <c r="G44" s="170"/>
      <c r="H44" s="171"/>
      <c r="I44" s="173"/>
      <c r="J44" s="172"/>
      <c r="K44" s="173"/>
      <c r="L44" s="172"/>
      <c r="M44" s="173"/>
      <c r="N44" s="27"/>
      <c r="O44" s="10"/>
      <c r="P44" s="10"/>
      <c r="Q44" s="10"/>
      <c r="R44" s="10"/>
    </row>
    <row r="45" spans="1:18" ht="15" customHeight="1" x14ac:dyDescent="0.3">
      <c r="A45" s="170"/>
      <c r="B45" s="20"/>
      <c r="C45" s="24"/>
      <c r="D45" s="20"/>
      <c r="E45" s="23"/>
      <c r="F45" s="164"/>
      <c r="G45" s="170"/>
      <c r="H45" s="171"/>
      <c r="I45" s="173"/>
      <c r="J45" s="172"/>
      <c r="K45" s="173"/>
      <c r="L45" s="172"/>
      <c r="M45" s="173"/>
      <c r="N45" s="27"/>
      <c r="O45" s="10"/>
      <c r="P45" s="10"/>
      <c r="Q45" s="10"/>
      <c r="R45" s="10"/>
    </row>
    <row r="46" spans="1:18" ht="15" customHeight="1" x14ac:dyDescent="0.3">
      <c r="A46" s="170"/>
      <c r="B46" s="20"/>
      <c r="C46" s="24"/>
      <c r="D46" s="20"/>
      <c r="E46" s="23"/>
      <c r="F46" s="164"/>
      <c r="G46" s="170"/>
      <c r="H46" s="171"/>
      <c r="I46" s="173"/>
      <c r="J46" s="172"/>
      <c r="K46" s="173"/>
      <c r="L46" s="172"/>
      <c r="M46" s="173"/>
      <c r="N46" s="27"/>
      <c r="O46" s="10"/>
      <c r="P46" s="10"/>
      <c r="Q46" s="10"/>
      <c r="R46" s="10"/>
    </row>
    <row r="47" spans="1:18" ht="15" customHeight="1" x14ac:dyDescent="0.3">
      <c r="A47" s="170"/>
      <c r="B47" s="20"/>
      <c r="C47" s="24"/>
      <c r="D47" s="20"/>
      <c r="E47" s="23"/>
      <c r="F47" s="164"/>
      <c r="G47" s="170"/>
      <c r="H47" s="171"/>
      <c r="I47" s="173"/>
      <c r="J47" s="172"/>
      <c r="K47" s="173"/>
      <c r="L47" s="172"/>
      <c r="M47" s="173"/>
      <c r="N47" s="27"/>
      <c r="O47" s="10"/>
      <c r="P47" s="10"/>
      <c r="Q47" s="10"/>
      <c r="R47" s="10"/>
    </row>
    <row r="48" spans="1:18" ht="15" customHeight="1" x14ac:dyDescent="0.3">
      <c r="A48" s="170"/>
      <c r="B48" s="20"/>
      <c r="C48" s="24"/>
      <c r="D48" s="20"/>
      <c r="E48" s="23"/>
      <c r="F48" s="164"/>
      <c r="G48" s="170"/>
      <c r="H48" s="171"/>
      <c r="I48" s="173"/>
      <c r="J48" s="172"/>
      <c r="K48" s="173"/>
      <c r="L48" s="172"/>
      <c r="M48" s="173"/>
      <c r="N48" s="27"/>
      <c r="O48" s="10"/>
      <c r="P48" s="10"/>
      <c r="Q48" s="10"/>
      <c r="R48" s="10"/>
    </row>
    <row r="49" spans="1:18" ht="15" customHeight="1" x14ac:dyDescent="0.3">
      <c r="A49" s="170"/>
      <c r="B49" s="20"/>
      <c r="C49" s="24"/>
      <c r="D49" s="20"/>
      <c r="E49" s="23"/>
      <c r="F49" s="164"/>
      <c r="G49" s="170"/>
      <c r="H49" s="171"/>
      <c r="I49" s="173"/>
      <c r="J49" s="172"/>
      <c r="K49" s="173"/>
      <c r="L49" s="172"/>
      <c r="M49" s="173"/>
      <c r="N49" s="27"/>
      <c r="O49" s="10"/>
      <c r="P49" s="10"/>
      <c r="Q49" s="10"/>
      <c r="R49" s="10"/>
    </row>
    <row r="50" spans="1:18" ht="15" customHeight="1" x14ac:dyDescent="0.3">
      <c r="A50" s="170"/>
      <c r="B50" s="20"/>
      <c r="C50" s="24"/>
      <c r="D50" s="20"/>
      <c r="E50" s="23"/>
      <c r="F50" s="164"/>
      <c r="G50" s="170"/>
      <c r="H50" s="171"/>
      <c r="I50" s="173"/>
      <c r="J50" s="172"/>
      <c r="K50" s="173"/>
      <c r="L50" s="172"/>
      <c r="M50" s="173"/>
      <c r="N50" s="27"/>
      <c r="O50" s="10"/>
      <c r="P50" s="10"/>
      <c r="Q50" s="10"/>
      <c r="R50" s="10"/>
    </row>
    <row r="51" spans="1:18" ht="15" customHeight="1" x14ac:dyDescent="0.3">
      <c r="A51" s="170"/>
      <c r="B51" s="20"/>
      <c r="C51" s="24"/>
      <c r="D51" s="20"/>
      <c r="E51" s="23"/>
      <c r="F51" s="164"/>
      <c r="G51" s="170"/>
      <c r="H51" s="171"/>
      <c r="I51" s="173"/>
      <c r="J51" s="172"/>
      <c r="K51" s="173"/>
      <c r="L51" s="172"/>
      <c r="M51" s="173"/>
      <c r="N51" s="27"/>
      <c r="O51" s="10"/>
      <c r="P51" s="10"/>
      <c r="Q51" s="10"/>
      <c r="R51" s="10"/>
    </row>
    <row r="52" spans="1:18" ht="15" customHeight="1" x14ac:dyDescent="0.3">
      <c r="A52" s="170"/>
      <c r="B52" s="20"/>
      <c r="C52" s="24"/>
      <c r="D52" s="20"/>
      <c r="E52" s="23"/>
      <c r="F52" s="164"/>
      <c r="G52" s="170"/>
      <c r="H52" s="171"/>
      <c r="I52" s="173"/>
      <c r="J52" s="172"/>
      <c r="K52" s="173"/>
      <c r="L52" s="172"/>
      <c r="M52" s="173"/>
      <c r="N52" s="27"/>
      <c r="O52" s="10"/>
      <c r="P52" s="10"/>
      <c r="Q52" s="10"/>
      <c r="R52" s="10"/>
    </row>
    <row r="53" spans="1:18" ht="15" customHeight="1" x14ac:dyDescent="0.3">
      <c r="A53" s="170"/>
      <c r="B53" s="20"/>
      <c r="C53" s="24"/>
      <c r="D53" s="20"/>
      <c r="E53" s="23"/>
      <c r="F53" s="164"/>
      <c r="G53" s="170"/>
      <c r="H53" s="171"/>
      <c r="I53" s="173"/>
      <c r="J53" s="172"/>
      <c r="K53" s="173"/>
      <c r="L53" s="172"/>
      <c r="M53" s="173"/>
      <c r="N53" s="27"/>
      <c r="O53" s="10"/>
      <c r="P53" s="10"/>
      <c r="Q53" s="10"/>
      <c r="R53" s="10"/>
    </row>
    <row r="54" spans="1:18" ht="15" customHeight="1" x14ac:dyDescent="0.3">
      <c r="A54" s="170"/>
      <c r="B54" s="20"/>
      <c r="C54" s="24"/>
      <c r="D54" s="20"/>
      <c r="E54" s="23"/>
      <c r="F54" s="164"/>
      <c r="G54" s="170"/>
      <c r="H54" s="171"/>
      <c r="I54" s="173"/>
      <c r="J54" s="172"/>
      <c r="K54" s="173"/>
      <c r="L54" s="172"/>
      <c r="M54" s="173"/>
      <c r="N54" s="27"/>
      <c r="O54" s="10"/>
      <c r="P54" s="10"/>
      <c r="Q54" s="10"/>
      <c r="R54" s="10"/>
    </row>
    <row r="55" spans="1:18" ht="15" customHeight="1" x14ac:dyDescent="0.3">
      <c r="A55" s="170"/>
      <c r="B55" s="20"/>
      <c r="C55" s="24"/>
      <c r="D55" s="20"/>
      <c r="E55" s="23"/>
      <c r="F55" s="164"/>
      <c r="G55" s="170"/>
      <c r="H55" s="171"/>
      <c r="I55" s="173"/>
      <c r="J55" s="172"/>
      <c r="K55" s="173"/>
      <c r="L55" s="172"/>
      <c r="M55" s="173"/>
      <c r="N55" s="27"/>
      <c r="O55" s="10"/>
      <c r="P55" s="10"/>
      <c r="Q55" s="10"/>
      <c r="R55" s="10"/>
    </row>
    <row r="56" spans="1:18" ht="15" customHeight="1" x14ac:dyDescent="0.3">
      <c r="A56" s="170"/>
      <c r="B56" s="20"/>
      <c r="C56" s="24"/>
      <c r="D56" s="20"/>
      <c r="E56" s="23"/>
      <c r="F56" s="164"/>
      <c r="G56" s="170"/>
      <c r="H56" s="171"/>
      <c r="I56" s="173"/>
      <c r="J56" s="172"/>
      <c r="K56" s="173"/>
      <c r="L56" s="172"/>
      <c r="M56" s="173"/>
      <c r="N56" s="27"/>
      <c r="O56" s="10"/>
      <c r="P56" s="10"/>
      <c r="Q56" s="10"/>
      <c r="R56" s="10"/>
    </row>
    <row r="57" spans="1:18" ht="15.75" customHeight="1" x14ac:dyDescent="0.3">
      <c r="A57" s="174"/>
      <c r="B57" s="100"/>
      <c r="C57" s="101"/>
      <c r="D57" s="100"/>
      <c r="E57" s="102"/>
      <c r="F57" s="165"/>
      <c r="G57" s="174"/>
      <c r="H57" s="175"/>
      <c r="I57" s="177"/>
      <c r="J57" s="176"/>
      <c r="K57" s="177"/>
      <c r="L57" s="176"/>
      <c r="M57" s="177"/>
      <c r="N57" s="103"/>
      <c r="O57" s="10"/>
      <c r="P57" s="10"/>
      <c r="Q57" s="10"/>
      <c r="R57" s="10"/>
    </row>
    <row r="58" spans="1:18" x14ac:dyDescent="0.3">
      <c r="A58" s="20"/>
      <c r="B58" s="20"/>
      <c r="C58" s="24"/>
      <c r="D58" s="20"/>
      <c r="E58" s="23"/>
      <c r="F58" s="164"/>
      <c r="G58" s="170"/>
      <c r="H58" s="171"/>
      <c r="I58" s="173"/>
      <c r="J58" s="172"/>
      <c r="K58" s="173"/>
      <c r="L58" s="172"/>
      <c r="M58" s="173"/>
      <c r="N58" s="27"/>
    </row>
    <row r="59" spans="1:18" x14ac:dyDescent="0.3">
      <c r="A59" s="20"/>
      <c r="B59" s="20"/>
      <c r="C59" s="24"/>
      <c r="D59" s="20"/>
      <c r="E59" s="23"/>
      <c r="F59" s="164"/>
      <c r="G59" s="170"/>
      <c r="H59" s="171"/>
      <c r="I59" s="173"/>
      <c r="J59" s="172"/>
      <c r="K59" s="173"/>
      <c r="L59" s="172"/>
      <c r="M59" s="173"/>
      <c r="N59" s="27"/>
    </row>
    <row r="60" spans="1:18" x14ac:dyDescent="0.3">
      <c r="A60" s="20"/>
      <c r="B60" s="20"/>
      <c r="C60" s="24"/>
      <c r="D60" s="20"/>
      <c r="E60" s="23"/>
      <c r="F60" s="164"/>
      <c r="G60" s="170"/>
      <c r="H60" s="171"/>
      <c r="I60" s="173"/>
      <c r="J60" s="172"/>
      <c r="K60" s="173"/>
      <c r="L60" s="172"/>
      <c r="M60" s="173"/>
      <c r="N60" s="27"/>
    </row>
    <row r="61" spans="1:18" x14ac:dyDescent="0.3">
      <c r="A61" s="20"/>
      <c r="B61" s="20"/>
      <c r="C61" s="24"/>
      <c r="D61" s="20"/>
      <c r="E61" s="23"/>
      <c r="F61" s="164"/>
      <c r="G61" s="170"/>
      <c r="H61" s="171"/>
      <c r="I61" s="173"/>
      <c r="J61" s="172"/>
      <c r="K61" s="173"/>
      <c r="L61" s="172"/>
      <c r="M61" s="173"/>
      <c r="N61" s="27"/>
    </row>
    <row r="62" spans="1:18" x14ac:dyDescent="0.3">
      <c r="A62" s="20"/>
      <c r="B62" s="20"/>
      <c r="C62" s="24"/>
      <c r="D62" s="20"/>
      <c r="E62" s="23"/>
      <c r="F62" s="164"/>
      <c r="G62" s="170"/>
      <c r="H62" s="171"/>
      <c r="I62" s="173"/>
      <c r="J62" s="172"/>
      <c r="K62" s="173"/>
      <c r="L62" s="172"/>
      <c r="M62" s="173"/>
      <c r="N62" s="27"/>
    </row>
    <row r="63" spans="1:18" x14ac:dyDescent="0.3">
      <c r="A63" s="20"/>
      <c r="B63" s="20"/>
      <c r="C63" s="24"/>
      <c r="D63" s="20"/>
      <c r="E63" s="23"/>
      <c r="F63" s="164"/>
      <c r="G63" s="170"/>
      <c r="H63" s="171"/>
      <c r="I63" s="173"/>
      <c r="J63" s="172"/>
      <c r="K63" s="173"/>
      <c r="L63" s="172"/>
      <c r="M63" s="173"/>
      <c r="N63" s="27"/>
    </row>
    <row r="64" spans="1:18" x14ac:dyDescent="0.3">
      <c r="A64" s="20"/>
      <c r="B64" s="20"/>
      <c r="C64" s="24"/>
      <c r="D64" s="20"/>
      <c r="E64" s="23"/>
      <c r="F64" s="164"/>
      <c r="G64" s="170"/>
      <c r="H64" s="171"/>
      <c r="I64" s="173"/>
      <c r="J64" s="172"/>
      <c r="K64" s="173"/>
      <c r="L64" s="172"/>
      <c r="M64" s="173"/>
      <c r="N64" s="27"/>
    </row>
    <row r="65" spans="1:14" x14ac:dyDescent="0.3">
      <c r="A65" s="20"/>
      <c r="B65" s="20"/>
      <c r="C65" s="24"/>
      <c r="D65" s="20"/>
      <c r="E65" s="23"/>
      <c r="F65" s="164"/>
      <c r="G65" s="170"/>
      <c r="H65" s="171"/>
      <c r="I65" s="173"/>
      <c r="J65" s="172"/>
      <c r="K65" s="173"/>
      <c r="L65" s="172"/>
      <c r="M65" s="173"/>
      <c r="N65" s="27"/>
    </row>
    <row r="66" spans="1:14" x14ac:dyDescent="0.3">
      <c r="A66" s="20"/>
      <c r="B66" s="20"/>
      <c r="C66" s="24"/>
      <c r="D66" s="20"/>
      <c r="E66" s="23"/>
      <c r="F66" s="164"/>
      <c r="G66" s="170"/>
      <c r="H66" s="171"/>
      <c r="I66" s="173"/>
      <c r="J66" s="172"/>
      <c r="K66" s="173"/>
      <c r="L66" s="172"/>
      <c r="M66" s="173"/>
      <c r="N66" s="27"/>
    </row>
    <row r="67" spans="1:14" x14ac:dyDescent="0.3">
      <c r="A67" s="20"/>
      <c r="B67" s="20"/>
      <c r="C67" s="24"/>
      <c r="D67" s="20"/>
      <c r="E67" s="23"/>
      <c r="F67" s="164"/>
      <c r="G67" s="170"/>
      <c r="H67" s="171"/>
      <c r="I67" s="173"/>
      <c r="J67" s="172"/>
      <c r="K67" s="173"/>
      <c r="L67" s="172"/>
      <c r="M67" s="173"/>
      <c r="N67" s="27"/>
    </row>
    <row r="68" spans="1:14" x14ac:dyDescent="0.3">
      <c r="A68" s="20"/>
      <c r="B68" s="20"/>
      <c r="C68" s="24"/>
      <c r="D68" s="20"/>
      <c r="E68" s="23"/>
      <c r="F68" s="164"/>
      <c r="G68" s="170"/>
      <c r="H68" s="171"/>
      <c r="I68" s="173"/>
      <c r="J68" s="172"/>
      <c r="K68" s="173"/>
      <c r="L68" s="172"/>
      <c r="M68" s="173"/>
      <c r="N68" s="27"/>
    </row>
    <row r="69" spans="1:14" x14ac:dyDescent="0.3">
      <c r="A69" s="20"/>
      <c r="B69" s="20"/>
      <c r="C69" s="24"/>
      <c r="D69" s="20"/>
      <c r="E69" s="23"/>
      <c r="F69" s="164"/>
      <c r="G69" s="170"/>
      <c r="H69" s="171"/>
      <c r="I69" s="173"/>
      <c r="J69" s="172"/>
      <c r="K69" s="173"/>
      <c r="L69" s="172"/>
      <c r="M69" s="173"/>
      <c r="N69" s="27"/>
    </row>
    <row r="70" spans="1:14" x14ac:dyDescent="0.3">
      <c r="A70" s="20"/>
      <c r="B70" s="20"/>
      <c r="C70" s="24"/>
      <c r="D70" s="20"/>
      <c r="E70" s="23"/>
      <c r="F70" s="164"/>
      <c r="G70" s="170"/>
      <c r="H70" s="171"/>
      <c r="I70" s="173"/>
      <c r="J70" s="172"/>
      <c r="K70" s="173"/>
      <c r="L70" s="172"/>
      <c r="M70" s="173"/>
      <c r="N70" s="27"/>
    </row>
    <row r="71" spans="1:14" x14ac:dyDescent="0.3">
      <c r="A71" s="20"/>
      <c r="B71" s="20"/>
      <c r="C71" s="24"/>
      <c r="D71" s="20"/>
      <c r="E71" s="23"/>
      <c r="F71" s="164"/>
      <c r="G71" s="170"/>
      <c r="H71" s="171"/>
      <c r="I71" s="173"/>
      <c r="J71" s="172"/>
      <c r="K71" s="173"/>
      <c r="L71" s="172"/>
      <c r="M71" s="173"/>
      <c r="N71" s="27"/>
    </row>
    <row r="72" spans="1:14" x14ac:dyDescent="0.3">
      <c r="A72" s="20"/>
      <c r="B72" s="20"/>
      <c r="C72" s="24"/>
      <c r="D72" s="20"/>
      <c r="E72" s="23"/>
      <c r="F72" s="164"/>
      <c r="G72" s="170"/>
      <c r="H72" s="171"/>
      <c r="I72" s="173"/>
      <c r="J72" s="172"/>
      <c r="K72" s="173"/>
      <c r="L72" s="172"/>
      <c r="M72" s="173"/>
      <c r="N72" s="27"/>
    </row>
    <row r="73" spans="1:14" x14ac:dyDescent="0.3">
      <c r="A73" s="20"/>
      <c r="B73" s="20"/>
      <c r="C73" s="24"/>
      <c r="D73" s="20"/>
      <c r="E73" s="23"/>
      <c r="F73" s="164"/>
      <c r="G73" s="170"/>
      <c r="H73" s="171"/>
      <c r="I73" s="173"/>
      <c r="J73" s="172"/>
      <c r="K73" s="173"/>
      <c r="L73" s="172"/>
      <c r="M73" s="173"/>
      <c r="N73" s="27"/>
    </row>
    <row r="74" spans="1:14" x14ac:dyDescent="0.3">
      <c r="A74" s="20"/>
      <c r="B74" s="20"/>
      <c r="C74" s="24"/>
      <c r="D74" s="20"/>
      <c r="E74" s="23"/>
      <c r="F74" s="164"/>
      <c r="G74" s="170"/>
      <c r="H74" s="171"/>
      <c r="I74" s="173"/>
      <c r="J74" s="172"/>
      <c r="K74" s="173"/>
      <c r="L74" s="172"/>
      <c r="M74" s="173"/>
      <c r="N74" s="27"/>
    </row>
    <row r="75" spans="1:14" x14ac:dyDescent="0.3">
      <c r="A75" s="20"/>
      <c r="B75" s="20"/>
      <c r="C75" s="24"/>
      <c r="D75" s="20"/>
      <c r="E75" s="23"/>
      <c r="F75" s="164"/>
      <c r="G75" s="170"/>
      <c r="H75" s="171"/>
      <c r="I75" s="173"/>
      <c r="J75" s="172"/>
      <c r="K75" s="173"/>
      <c r="L75" s="172"/>
      <c r="M75" s="173"/>
      <c r="N75" s="27"/>
    </row>
    <row r="76" spans="1:14" x14ac:dyDescent="0.3">
      <c r="A76" s="20"/>
      <c r="B76" s="20"/>
      <c r="C76" s="24"/>
      <c r="D76" s="20"/>
      <c r="E76" s="23"/>
      <c r="F76" s="164"/>
      <c r="G76" s="170"/>
      <c r="H76" s="171"/>
      <c r="I76" s="173"/>
      <c r="J76" s="172"/>
      <c r="K76" s="173"/>
      <c r="L76" s="172"/>
      <c r="M76" s="173"/>
      <c r="N76" s="27"/>
    </row>
    <row r="77" spans="1:14" x14ac:dyDescent="0.3">
      <c r="A77" s="20"/>
      <c r="B77" s="20"/>
      <c r="C77" s="24"/>
      <c r="D77" s="20"/>
      <c r="E77" s="23"/>
      <c r="F77" s="164"/>
      <c r="G77" s="170"/>
      <c r="H77" s="171"/>
      <c r="I77" s="173"/>
      <c r="J77" s="172"/>
      <c r="K77" s="173"/>
      <c r="L77" s="172"/>
      <c r="M77" s="173"/>
      <c r="N77" s="27"/>
    </row>
    <row r="78" spans="1:14" x14ac:dyDescent="0.3">
      <c r="A78" s="20"/>
      <c r="B78" s="20"/>
      <c r="C78" s="24"/>
      <c r="D78" s="20"/>
      <c r="E78" s="23"/>
      <c r="F78" s="164"/>
      <c r="G78" s="170"/>
      <c r="H78" s="171"/>
      <c r="I78" s="173"/>
      <c r="J78" s="172"/>
      <c r="K78" s="173"/>
      <c r="L78" s="172"/>
      <c r="M78" s="173"/>
      <c r="N78" s="27"/>
    </row>
    <row r="79" spans="1:14" x14ac:dyDescent="0.3">
      <c r="A79" s="20"/>
      <c r="B79" s="20"/>
      <c r="C79" s="24"/>
      <c r="D79" s="20"/>
      <c r="E79" s="23"/>
      <c r="F79" s="164"/>
      <c r="G79" s="170"/>
      <c r="H79" s="171"/>
      <c r="I79" s="173"/>
      <c r="J79" s="172"/>
      <c r="K79" s="173"/>
      <c r="L79" s="172"/>
      <c r="M79" s="173"/>
      <c r="N79" s="27"/>
    </row>
    <row r="80" spans="1:14" x14ac:dyDescent="0.3">
      <c r="A80" s="20"/>
      <c r="B80" s="20"/>
      <c r="C80" s="24"/>
      <c r="D80" s="20"/>
      <c r="E80" s="23"/>
      <c r="F80" s="164"/>
      <c r="G80" s="170"/>
      <c r="H80" s="171"/>
      <c r="I80" s="173"/>
      <c r="J80" s="172"/>
      <c r="K80" s="173"/>
      <c r="L80" s="172"/>
      <c r="M80" s="173"/>
      <c r="N80" s="27"/>
    </row>
    <row r="81" spans="1:14" x14ac:dyDescent="0.3">
      <c r="A81" s="20"/>
      <c r="B81" s="20"/>
      <c r="C81" s="24"/>
      <c r="D81" s="20"/>
      <c r="E81" s="23"/>
      <c r="F81" s="164"/>
      <c r="G81" s="170"/>
      <c r="H81" s="171"/>
      <c r="I81" s="173"/>
      <c r="J81" s="172"/>
      <c r="K81" s="173"/>
      <c r="L81" s="172"/>
      <c r="M81" s="173"/>
      <c r="N81" s="27"/>
    </row>
    <row r="82" spans="1:14" x14ac:dyDescent="0.3">
      <c r="A82" s="20"/>
      <c r="B82" s="20"/>
      <c r="C82" s="24"/>
      <c r="D82" s="20"/>
      <c r="E82" s="23"/>
      <c r="F82" s="164"/>
      <c r="G82" s="170"/>
      <c r="H82" s="171"/>
      <c r="I82" s="173"/>
      <c r="J82" s="172"/>
      <c r="K82" s="173"/>
      <c r="L82" s="172"/>
      <c r="M82" s="173"/>
      <c r="N82" s="27"/>
    </row>
    <row r="83" spans="1:14" x14ac:dyDescent="0.3">
      <c r="A83" s="20"/>
      <c r="B83" s="20"/>
      <c r="C83" s="24"/>
      <c r="D83" s="20"/>
      <c r="E83" s="23"/>
      <c r="F83" s="164"/>
      <c r="G83" s="170"/>
      <c r="H83" s="171"/>
      <c r="I83" s="173"/>
      <c r="J83" s="172"/>
      <c r="K83" s="173"/>
      <c r="L83" s="172"/>
      <c r="M83" s="173"/>
      <c r="N83" s="27"/>
    </row>
    <row r="84" spans="1:14" x14ac:dyDescent="0.3">
      <c r="A84" s="20"/>
      <c r="B84" s="20"/>
      <c r="C84" s="24"/>
      <c r="D84" s="20"/>
      <c r="E84" s="23"/>
      <c r="F84" s="164"/>
      <c r="G84" s="170"/>
      <c r="H84" s="171"/>
      <c r="I84" s="173"/>
      <c r="J84" s="172"/>
      <c r="K84" s="173"/>
      <c r="L84" s="172"/>
      <c r="M84" s="173"/>
      <c r="N84" s="27"/>
    </row>
    <row r="85" spans="1:14" x14ac:dyDescent="0.3">
      <c r="A85" s="20"/>
      <c r="B85" s="20"/>
      <c r="C85" s="24"/>
      <c r="D85" s="20"/>
      <c r="E85" s="23"/>
      <c r="F85" s="164"/>
      <c r="G85" s="170"/>
      <c r="H85" s="171"/>
      <c r="I85" s="173"/>
      <c r="J85" s="172"/>
      <c r="K85" s="173"/>
      <c r="L85" s="172"/>
      <c r="M85" s="173"/>
      <c r="N85" s="27"/>
    </row>
    <row r="86" spans="1:14" x14ac:dyDescent="0.3">
      <c r="A86" s="20"/>
      <c r="B86" s="20"/>
      <c r="C86" s="24"/>
      <c r="D86" s="20"/>
      <c r="E86" s="23"/>
      <c r="F86" s="164"/>
      <c r="G86" s="170"/>
      <c r="H86" s="171"/>
      <c r="I86" s="173"/>
      <c r="J86" s="172"/>
      <c r="K86" s="173"/>
      <c r="L86" s="172"/>
      <c r="M86" s="173"/>
      <c r="N86" s="27"/>
    </row>
    <row r="87" spans="1:14" x14ac:dyDescent="0.3">
      <c r="A87" s="20"/>
      <c r="B87" s="20"/>
      <c r="C87" s="24"/>
      <c r="D87" s="20"/>
      <c r="E87" s="23"/>
      <c r="F87" s="164"/>
      <c r="G87" s="170"/>
      <c r="H87" s="171"/>
      <c r="I87" s="173"/>
      <c r="J87" s="172"/>
      <c r="K87" s="173"/>
      <c r="L87" s="172"/>
      <c r="M87" s="173"/>
      <c r="N87" s="27"/>
    </row>
    <row r="88" spans="1:14" x14ac:dyDescent="0.3">
      <c r="A88" s="20"/>
      <c r="B88" s="20"/>
      <c r="C88" s="24"/>
      <c r="D88" s="20"/>
      <c r="E88" s="23"/>
      <c r="F88" s="164"/>
      <c r="G88" s="170"/>
      <c r="H88" s="171"/>
      <c r="I88" s="173"/>
      <c r="J88" s="172"/>
      <c r="K88" s="173"/>
      <c r="L88" s="172"/>
      <c r="M88" s="173"/>
      <c r="N88" s="27"/>
    </row>
    <row r="89" spans="1:14" x14ac:dyDescent="0.3">
      <c r="A89" s="20"/>
      <c r="B89" s="20"/>
      <c r="C89" s="24"/>
      <c r="D89" s="20"/>
      <c r="E89" s="23"/>
      <c r="F89" s="164"/>
      <c r="G89" s="170"/>
      <c r="H89" s="171"/>
      <c r="I89" s="173"/>
      <c r="J89" s="172"/>
      <c r="K89" s="173"/>
      <c r="L89" s="172"/>
      <c r="M89" s="173"/>
      <c r="N89" s="27"/>
    </row>
    <row r="90" spans="1:14" x14ac:dyDescent="0.3">
      <c r="A90" s="20"/>
      <c r="B90" s="20"/>
      <c r="C90" s="24"/>
      <c r="D90" s="20"/>
      <c r="E90" s="23"/>
      <c r="F90" s="164"/>
      <c r="G90" s="170"/>
      <c r="H90" s="171"/>
      <c r="I90" s="173"/>
      <c r="J90" s="172"/>
      <c r="K90" s="173"/>
      <c r="L90" s="172"/>
      <c r="M90" s="173"/>
      <c r="N90" s="27"/>
    </row>
    <row r="91" spans="1:14" x14ac:dyDescent="0.3">
      <c r="A91" s="20"/>
      <c r="B91" s="20"/>
      <c r="C91" s="24"/>
      <c r="D91" s="20"/>
      <c r="E91" s="23"/>
      <c r="F91" s="164"/>
      <c r="G91" s="170"/>
      <c r="H91" s="171"/>
      <c r="I91" s="173"/>
      <c r="J91" s="172"/>
      <c r="K91" s="173"/>
      <c r="L91" s="172"/>
      <c r="M91" s="173"/>
      <c r="N91" s="27"/>
    </row>
    <row r="92" spans="1:14" x14ac:dyDescent="0.3">
      <c r="A92" s="20"/>
      <c r="B92" s="20"/>
      <c r="C92" s="24"/>
      <c r="D92" s="20"/>
      <c r="E92" s="23"/>
      <c r="F92" s="164"/>
      <c r="G92" s="170"/>
      <c r="H92" s="171"/>
      <c r="I92" s="173"/>
      <c r="J92" s="172"/>
      <c r="K92" s="173"/>
      <c r="L92" s="172"/>
      <c r="M92" s="173"/>
      <c r="N92" s="27"/>
    </row>
    <row r="93" spans="1:14" x14ac:dyDescent="0.3">
      <c r="A93" s="20"/>
      <c r="B93" s="20"/>
      <c r="C93" s="24"/>
      <c r="D93" s="20"/>
      <c r="E93" s="23"/>
      <c r="F93" s="164"/>
      <c r="G93" s="170"/>
      <c r="H93" s="171"/>
      <c r="I93" s="173"/>
      <c r="J93" s="172"/>
      <c r="K93" s="173"/>
      <c r="L93" s="172"/>
      <c r="M93" s="173"/>
      <c r="N93" s="27"/>
    </row>
    <row r="94" spans="1:14" x14ac:dyDescent="0.3">
      <c r="A94" s="20"/>
      <c r="B94" s="20"/>
      <c r="C94" s="24"/>
      <c r="D94" s="20"/>
      <c r="E94" s="23"/>
      <c r="F94" s="164"/>
      <c r="G94" s="170"/>
      <c r="H94" s="171"/>
      <c r="I94" s="173"/>
      <c r="J94" s="172"/>
      <c r="K94" s="173"/>
      <c r="L94" s="172"/>
      <c r="M94" s="173"/>
      <c r="N94" s="27"/>
    </row>
    <row r="95" spans="1:14" x14ac:dyDescent="0.3">
      <c r="A95" s="20"/>
      <c r="B95" s="20"/>
      <c r="C95" s="24"/>
      <c r="D95" s="20"/>
      <c r="E95" s="23"/>
      <c r="F95" s="164"/>
      <c r="G95" s="170"/>
      <c r="H95" s="171"/>
      <c r="I95" s="173"/>
      <c r="J95" s="172"/>
      <c r="K95" s="173"/>
      <c r="L95" s="172"/>
      <c r="M95" s="173"/>
      <c r="N95" s="27"/>
    </row>
    <row r="96" spans="1:14" x14ac:dyDescent="0.3">
      <c r="A96" s="20"/>
      <c r="B96" s="20"/>
      <c r="C96" s="24"/>
      <c r="D96" s="20"/>
      <c r="E96" s="23"/>
      <c r="F96" s="164"/>
      <c r="G96" s="170"/>
      <c r="H96" s="171"/>
      <c r="I96" s="173"/>
      <c r="J96" s="172"/>
      <c r="K96" s="173"/>
      <c r="L96" s="172"/>
      <c r="M96" s="173"/>
      <c r="N96" s="27"/>
    </row>
    <row r="97" spans="1:14" x14ac:dyDescent="0.3">
      <c r="A97" s="20"/>
      <c r="B97" s="20"/>
      <c r="C97" s="24"/>
      <c r="D97" s="20"/>
      <c r="E97" s="23"/>
      <c r="F97" s="164"/>
      <c r="G97" s="170"/>
      <c r="H97" s="171"/>
      <c r="I97" s="173"/>
      <c r="J97" s="172"/>
      <c r="K97" s="173"/>
      <c r="L97" s="172"/>
      <c r="M97" s="173"/>
      <c r="N97" s="27"/>
    </row>
    <row r="98" spans="1:14" x14ac:dyDescent="0.3">
      <c r="A98" s="20"/>
      <c r="B98" s="20"/>
      <c r="C98" s="24"/>
      <c r="D98" s="20"/>
      <c r="E98" s="23"/>
      <c r="F98" s="164"/>
      <c r="G98" s="170"/>
      <c r="H98" s="171"/>
      <c r="I98" s="173"/>
      <c r="J98" s="172"/>
      <c r="K98" s="173"/>
      <c r="L98" s="172"/>
      <c r="M98" s="173"/>
      <c r="N98" s="27"/>
    </row>
    <row r="99" spans="1:14" x14ac:dyDescent="0.3">
      <c r="A99" s="20"/>
      <c r="B99" s="20"/>
      <c r="C99" s="24"/>
      <c r="D99" s="20"/>
      <c r="E99" s="23"/>
      <c r="F99" s="164"/>
      <c r="G99" s="170"/>
      <c r="H99" s="171"/>
      <c r="I99" s="173"/>
      <c r="J99" s="172"/>
      <c r="K99" s="173"/>
      <c r="L99" s="172"/>
      <c r="M99" s="173"/>
      <c r="N99" s="27"/>
    </row>
    <row r="100" spans="1:14" x14ac:dyDescent="0.3">
      <c r="A100" s="20"/>
      <c r="B100" s="20"/>
      <c r="C100" s="24"/>
      <c r="D100" s="20"/>
      <c r="E100" s="23"/>
      <c r="F100" s="164"/>
      <c r="G100" s="170"/>
      <c r="H100" s="171"/>
      <c r="I100" s="173"/>
      <c r="J100" s="172"/>
      <c r="K100" s="173"/>
      <c r="L100" s="172"/>
      <c r="M100" s="173"/>
      <c r="N100" s="27"/>
    </row>
    <row r="101" spans="1:14" x14ac:dyDescent="0.3">
      <c r="A101" s="20"/>
      <c r="B101" s="20"/>
      <c r="C101" s="24"/>
      <c r="D101" s="20"/>
      <c r="E101" s="23"/>
      <c r="F101" s="164"/>
      <c r="G101" s="170"/>
      <c r="H101" s="171"/>
      <c r="I101" s="173"/>
      <c r="J101" s="172"/>
      <c r="K101" s="173"/>
      <c r="L101" s="172"/>
      <c r="M101" s="173"/>
      <c r="N101" s="27"/>
    </row>
    <row r="102" spans="1:14" x14ac:dyDescent="0.3">
      <c r="A102" s="20"/>
      <c r="B102" s="20"/>
      <c r="C102" s="24"/>
      <c r="D102" s="20"/>
      <c r="E102" s="23"/>
      <c r="F102" s="164"/>
      <c r="G102" s="170"/>
      <c r="H102" s="171"/>
      <c r="I102" s="173"/>
      <c r="J102" s="172"/>
      <c r="K102" s="173"/>
      <c r="L102" s="172"/>
      <c r="M102" s="173"/>
      <c r="N102" s="27"/>
    </row>
    <row r="103" spans="1:14" x14ac:dyDescent="0.3">
      <c r="A103" s="20"/>
      <c r="B103" s="20"/>
      <c r="C103" s="24"/>
      <c r="D103" s="20"/>
      <c r="E103" s="23"/>
      <c r="F103" s="164"/>
      <c r="G103" s="170"/>
      <c r="H103" s="171"/>
      <c r="I103" s="173"/>
      <c r="J103" s="172"/>
      <c r="K103" s="173"/>
      <c r="L103" s="172"/>
      <c r="M103" s="173"/>
      <c r="N103" s="27"/>
    </row>
    <row r="104" spans="1:14" x14ac:dyDescent="0.3">
      <c r="A104" s="20"/>
      <c r="B104" s="20"/>
      <c r="C104" s="24"/>
      <c r="D104" s="20"/>
      <c r="E104" s="23"/>
      <c r="F104" s="164"/>
      <c r="G104" s="170"/>
      <c r="H104" s="171"/>
      <c r="I104" s="173"/>
      <c r="J104" s="172"/>
      <c r="K104" s="173"/>
      <c r="L104" s="172"/>
      <c r="M104" s="173"/>
      <c r="N104" s="27"/>
    </row>
    <row r="105" spans="1:14" x14ac:dyDescent="0.3">
      <c r="A105" s="20"/>
      <c r="B105" s="20"/>
      <c r="C105" s="24"/>
      <c r="D105" s="20"/>
      <c r="E105" s="23"/>
      <c r="F105" s="164"/>
      <c r="G105" s="170"/>
      <c r="H105" s="171"/>
      <c r="I105" s="173"/>
      <c r="J105" s="172"/>
      <c r="K105" s="173"/>
      <c r="L105" s="172"/>
      <c r="M105" s="173"/>
      <c r="N105" s="27"/>
    </row>
    <row r="106" spans="1:14" x14ac:dyDescent="0.3">
      <c r="A106" s="20"/>
      <c r="B106" s="20"/>
      <c r="C106" s="24"/>
      <c r="D106" s="20"/>
      <c r="E106" s="23"/>
      <c r="F106" s="164"/>
      <c r="G106" s="170"/>
      <c r="H106" s="171"/>
      <c r="I106" s="173"/>
      <c r="J106" s="172"/>
      <c r="K106" s="173"/>
      <c r="L106" s="172"/>
      <c r="M106" s="173"/>
      <c r="N106" s="27"/>
    </row>
    <row r="107" spans="1:14" x14ac:dyDescent="0.3">
      <c r="A107" s="20"/>
      <c r="B107" s="20"/>
      <c r="C107" s="24"/>
      <c r="D107" s="20"/>
      <c r="E107" s="23"/>
      <c r="F107" s="164"/>
      <c r="G107" s="170"/>
      <c r="H107" s="171"/>
      <c r="I107" s="173"/>
      <c r="J107" s="172"/>
      <c r="K107" s="173"/>
      <c r="L107" s="172"/>
      <c r="M107" s="173"/>
      <c r="N107" s="27"/>
    </row>
    <row r="108" spans="1:14" x14ac:dyDescent="0.3">
      <c r="A108" s="20"/>
      <c r="B108" s="20"/>
      <c r="C108" s="24"/>
      <c r="D108" s="20"/>
      <c r="E108" s="23"/>
      <c r="F108" s="164"/>
      <c r="G108" s="170"/>
      <c r="H108" s="171"/>
      <c r="I108" s="173"/>
      <c r="J108" s="172"/>
      <c r="K108" s="173"/>
      <c r="L108" s="172"/>
      <c r="M108" s="173"/>
      <c r="N108" s="27"/>
    </row>
    <row r="109" spans="1:14" x14ac:dyDescent="0.3">
      <c r="A109" s="20"/>
      <c r="B109" s="20"/>
      <c r="C109" s="24"/>
      <c r="D109" s="20"/>
      <c r="E109" s="23"/>
      <c r="F109" s="164"/>
      <c r="G109" s="170"/>
      <c r="H109" s="171"/>
      <c r="I109" s="173"/>
      <c r="J109" s="172"/>
      <c r="K109" s="173"/>
      <c r="L109" s="172"/>
      <c r="M109" s="173"/>
      <c r="N109" s="27"/>
    </row>
    <row r="110" spans="1:14" x14ac:dyDescent="0.3">
      <c r="A110" s="20"/>
      <c r="B110" s="20"/>
      <c r="C110" s="24"/>
      <c r="D110" s="20"/>
      <c r="E110" s="23"/>
      <c r="F110" s="164"/>
      <c r="G110" s="170"/>
      <c r="H110" s="171"/>
      <c r="I110" s="173"/>
      <c r="J110" s="172"/>
      <c r="K110" s="173"/>
      <c r="L110" s="172"/>
      <c r="M110" s="173"/>
      <c r="N110" s="27"/>
    </row>
    <row r="111" spans="1:14" x14ac:dyDescent="0.3">
      <c r="A111" s="20"/>
      <c r="B111" s="20"/>
      <c r="C111" s="24"/>
      <c r="D111" s="20"/>
      <c r="E111" s="23"/>
      <c r="F111" s="164"/>
      <c r="G111" s="170"/>
      <c r="H111" s="171"/>
      <c r="I111" s="173"/>
      <c r="J111" s="172"/>
      <c r="K111" s="173"/>
      <c r="L111" s="172"/>
      <c r="M111" s="173"/>
      <c r="N111" s="27"/>
    </row>
    <row r="112" spans="1:14" x14ac:dyDescent="0.3">
      <c r="A112" s="20"/>
      <c r="B112" s="20"/>
      <c r="C112" s="24"/>
      <c r="D112" s="20"/>
      <c r="E112" s="23"/>
      <c r="F112" s="164"/>
      <c r="G112" s="170"/>
      <c r="H112" s="171"/>
      <c r="I112" s="173"/>
      <c r="J112" s="172"/>
      <c r="K112" s="173"/>
      <c r="L112" s="172"/>
      <c r="M112" s="173"/>
      <c r="N112" s="27"/>
    </row>
    <row r="113" spans="1:14" x14ac:dyDescent="0.3">
      <c r="A113" s="20"/>
      <c r="B113" s="20"/>
      <c r="C113" s="24"/>
      <c r="D113" s="20"/>
      <c r="E113" s="23"/>
      <c r="F113" s="164"/>
      <c r="G113" s="170"/>
      <c r="H113" s="171"/>
      <c r="I113" s="173"/>
      <c r="J113" s="172"/>
      <c r="K113" s="173"/>
      <c r="L113" s="172"/>
      <c r="M113" s="173"/>
      <c r="N113" s="27"/>
    </row>
    <row r="114" spans="1:14" x14ac:dyDescent="0.3">
      <c r="A114" s="20"/>
      <c r="B114" s="20"/>
      <c r="C114" s="24"/>
      <c r="D114" s="20"/>
      <c r="E114" s="23"/>
      <c r="F114" s="164"/>
      <c r="G114" s="170"/>
      <c r="H114" s="171"/>
      <c r="I114" s="173"/>
      <c r="J114" s="172"/>
      <c r="K114" s="173"/>
      <c r="L114" s="172"/>
      <c r="M114" s="173"/>
      <c r="N114" s="27"/>
    </row>
    <row r="115" spans="1:14" x14ac:dyDescent="0.3">
      <c r="A115" s="20"/>
      <c r="B115" s="20"/>
      <c r="C115" s="24"/>
      <c r="D115" s="20"/>
      <c r="E115" s="23"/>
      <c r="F115" s="164"/>
      <c r="G115" s="170"/>
      <c r="H115" s="171"/>
      <c r="I115" s="173"/>
      <c r="J115" s="172"/>
      <c r="K115" s="173"/>
      <c r="L115" s="172"/>
      <c r="M115" s="173"/>
      <c r="N115" s="27"/>
    </row>
    <row r="116" spans="1:14" x14ac:dyDescent="0.3">
      <c r="A116" s="20"/>
      <c r="B116" s="20"/>
      <c r="C116" s="24"/>
      <c r="D116" s="20"/>
      <c r="E116" s="23"/>
      <c r="F116" s="164"/>
      <c r="G116" s="170"/>
      <c r="H116" s="171"/>
      <c r="I116" s="173"/>
      <c r="J116" s="172"/>
      <c r="K116" s="173"/>
      <c r="L116" s="172"/>
      <c r="M116" s="173"/>
      <c r="N116" s="27"/>
    </row>
    <row r="117" spans="1:14" x14ac:dyDescent="0.3">
      <c r="A117" s="20"/>
      <c r="B117" s="20"/>
      <c r="C117" s="24"/>
      <c r="D117" s="20"/>
      <c r="E117" s="23"/>
      <c r="F117" s="164"/>
      <c r="G117" s="170"/>
      <c r="H117" s="171"/>
      <c r="I117" s="173"/>
      <c r="J117" s="172"/>
      <c r="K117" s="173"/>
      <c r="L117" s="172"/>
      <c r="M117" s="173"/>
      <c r="N117" s="27"/>
    </row>
    <row r="118" spans="1:14" x14ac:dyDescent="0.3">
      <c r="A118" s="20"/>
      <c r="B118" s="20"/>
      <c r="C118" s="24"/>
      <c r="D118" s="20"/>
      <c r="E118" s="23"/>
      <c r="F118" s="164"/>
      <c r="G118" s="170"/>
      <c r="H118" s="171"/>
      <c r="I118" s="173"/>
      <c r="J118" s="172"/>
      <c r="K118" s="173"/>
      <c r="L118" s="172"/>
      <c r="M118" s="173"/>
      <c r="N118" s="27"/>
    </row>
    <row r="119" spans="1:14" x14ac:dyDescent="0.3">
      <c r="A119" s="20"/>
      <c r="B119" s="20"/>
      <c r="C119" s="24"/>
      <c r="D119" s="20"/>
      <c r="E119" s="23"/>
      <c r="F119" s="164"/>
      <c r="G119" s="170"/>
      <c r="H119" s="171"/>
      <c r="I119" s="173"/>
      <c r="J119" s="172"/>
      <c r="K119" s="173"/>
      <c r="L119" s="172"/>
      <c r="M119" s="173"/>
      <c r="N119" s="27"/>
    </row>
    <row r="120" spans="1:14" x14ac:dyDescent="0.3">
      <c r="A120" s="20"/>
      <c r="B120" s="20"/>
      <c r="C120" s="24"/>
      <c r="D120" s="20"/>
      <c r="E120" s="23"/>
      <c r="F120" s="164"/>
      <c r="G120" s="170"/>
      <c r="H120" s="171"/>
      <c r="I120" s="173"/>
      <c r="J120" s="172"/>
      <c r="K120" s="173"/>
      <c r="L120" s="172"/>
      <c r="M120" s="173"/>
      <c r="N120" s="27"/>
    </row>
    <row r="121" spans="1:14" x14ac:dyDescent="0.3">
      <c r="A121" s="20"/>
      <c r="B121" s="20"/>
      <c r="C121" s="24"/>
      <c r="D121" s="20"/>
      <c r="E121" s="23"/>
      <c r="F121" s="164"/>
      <c r="G121" s="170"/>
      <c r="H121" s="171"/>
      <c r="I121" s="173"/>
      <c r="J121" s="172"/>
      <c r="K121" s="173"/>
      <c r="L121" s="172"/>
      <c r="M121" s="173"/>
      <c r="N121" s="27"/>
    </row>
    <row r="122" spans="1:14" x14ac:dyDescent="0.3">
      <c r="A122" s="20"/>
      <c r="B122" s="20"/>
      <c r="C122" s="24"/>
      <c r="D122" s="20"/>
      <c r="E122" s="23"/>
      <c r="F122" s="164"/>
      <c r="G122" s="170"/>
      <c r="H122" s="171"/>
      <c r="I122" s="173"/>
      <c r="J122" s="172"/>
      <c r="K122" s="173"/>
      <c r="L122" s="172"/>
      <c r="M122" s="173"/>
      <c r="N122" s="27"/>
    </row>
    <row r="123" spans="1:14" x14ac:dyDescent="0.3">
      <c r="A123" s="20"/>
      <c r="B123" s="20"/>
      <c r="C123" s="24"/>
      <c r="D123" s="20"/>
      <c r="E123" s="23"/>
      <c r="F123" s="164"/>
      <c r="G123" s="170"/>
      <c r="H123" s="171"/>
      <c r="I123" s="173"/>
      <c r="J123" s="172"/>
      <c r="K123" s="173"/>
      <c r="L123" s="172"/>
      <c r="M123" s="173"/>
      <c r="N123" s="27"/>
    </row>
    <row r="124" spans="1:14" x14ac:dyDescent="0.3">
      <c r="A124" s="20"/>
      <c r="B124" s="20"/>
      <c r="C124" s="24"/>
      <c r="D124" s="20"/>
      <c r="E124" s="23"/>
      <c r="F124" s="164"/>
      <c r="G124" s="170"/>
      <c r="H124" s="171"/>
      <c r="I124" s="173"/>
      <c r="J124" s="172"/>
      <c r="K124" s="173"/>
      <c r="L124" s="172"/>
      <c r="M124" s="173"/>
      <c r="N124" s="27"/>
    </row>
    <row r="125" spans="1:14" x14ac:dyDescent="0.3">
      <c r="A125" s="20"/>
      <c r="B125" s="20"/>
      <c r="C125" s="24"/>
      <c r="D125" s="20"/>
      <c r="E125" s="23"/>
      <c r="F125" s="164"/>
      <c r="G125" s="170"/>
      <c r="H125" s="171"/>
      <c r="I125" s="173"/>
      <c r="J125" s="172"/>
      <c r="K125" s="173"/>
      <c r="L125" s="172"/>
      <c r="M125" s="173"/>
      <c r="N125" s="27"/>
    </row>
    <row r="126" spans="1:14" x14ac:dyDescent="0.3">
      <c r="A126" s="20"/>
      <c r="B126" s="20"/>
      <c r="C126" s="24"/>
      <c r="D126" s="20"/>
      <c r="E126" s="23"/>
      <c r="F126" s="164"/>
      <c r="G126" s="170"/>
      <c r="H126" s="171"/>
      <c r="I126" s="173"/>
      <c r="J126" s="172"/>
      <c r="K126" s="173"/>
      <c r="L126" s="172"/>
      <c r="M126" s="173"/>
      <c r="N126" s="27"/>
    </row>
    <row r="127" spans="1:14" x14ac:dyDescent="0.3">
      <c r="A127" s="20"/>
      <c r="B127" s="20"/>
      <c r="C127" s="24"/>
      <c r="D127" s="20"/>
      <c r="E127" s="23"/>
      <c r="F127" s="164"/>
      <c r="G127" s="170"/>
      <c r="H127" s="171"/>
      <c r="I127" s="173"/>
      <c r="J127" s="172"/>
      <c r="K127" s="173"/>
      <c r="L127" s="172"/>
      <c r="M127" s="173"/>
      <c r="N127" s="27"/>
    </row>
    <row r="128" spans="1:14" x14ac:dyDescent="0.3">
      <c r="A128" s="20"/>
      <c r="B128" s="20"/>
      <c r="C128" s="24"/>
      <c r="D128" s="20"/>
      <c r="E128" s="23"/>
      <c r="F128" s="164"/>
      <c r="G128" s="170"/>
      <c r="H128" s="171"/>
      <c r="I128" s="173"/>
      <c r="J128" s="172"/>
      <c r="K128" s="173"/>
      <c r="L128" s="172"/>
      <c r="M128" s="173"/>
      <c r="N128" s="27"/>
    </row>
    <row r="129" spans="1:14" x14ac:dyDescent="0.3">
      <c r="A129" s="20"/>
      <c r="B129" s="20"/>
      <c r="C129" s="24"/>
      <c r="D129" s="20"/>
      <c r="E129" s="23"/>
      <c r="F129" s="164"/>
      <c r="G129" s="170"/>
      <c r="H129" s="171"/>
      <c r="I129" s="173"/>
      <c r="J129" s="172"/>
      <c r="K129" s="173"/>
      <c r="L129" s="172"/>
      <c r="M129" s="173"/>
      <c r="N129" s="27"/>
    </row>
    <row r="130" spans="1:14" x14ac:dyDescent="0.3">
      <c r="A130" s="20"/>
      <c r="B130" s="20"/>
      <c r="C130" s="24"/>
      <c r="D130" s="20"/>
      <c r="E130" s="23"/>
      <c r="F130" s="164"/>
      <c r="G130" s="170"/>
      <c r="H130" s="171"/>
      <c r="I130" s="173"/>
      <c r="J130" s="172"/>
      <c r="K130" s="173"/>
      <c r="L130" s="172"/>
      <c r="M130" s="173"/>
      <c r="N130" s="27"/>
    </row>
    <row r="131" spans="1:14" x14ac:dyDescent="0.3">
      <c r="A131" s="20"/>
      <c r="B131" s="20"/>
      <c r="C131" s="24"/>
      <c r="D131" s="20"/>
      <c r="E131" s="23"/>
      <c r="F131" s="164"/>
      <c r="G131" s="170"/>
      <c r="H131" s="171"/>
      <c r="I131" s="173"/>
      <c r="J131" s="172"/>
      <c r="K131" s="173"/>
      <c r="L131" s="172"/>
      <c r="M131" s="173"/>
      <c r="N131" s="27"/>
    </row>
    <row r="132" spans="1:14" x14ac:dyDescent="0.3">
      <c r="A132" s="20"/>
      <c r="B132" s="20"/>
      <c r="C132" s="24"/>
      <c r="D132" s="20"/>
      <c r="E132" s="23"/>
      <c r="F132" s="164"/>
      <c r="G132" s="170"/>
      <c r="H132" s="171"/>
      <c r="I132" s="173"/>
      <c r="J132" s="172"/>
      <c r="K132" s="173"/>
      <c r="L132" s="172"/>
      <c r="M132" s="173"/>
      <c r="N132" s="27"/>
    </row>
    <row r="133" spans="1:14" x14ac:dyDescent="0.3">
      <c r="A133" s="20"/>
      <c r="B133" s="20"/>
      <c r="C133" s="24"/>
      <c r="D133" s="20"/>
      <c r="E133" s="23"/>
      <c r="F133" s="164"/>
      <c r="G133" s="170"/>
      <c r="H133" s="171"/>
      <c r="I133" s="173"/>
      <c r="J133" s="172"/>
      <c r="K133" s="173"/>
      <c r="L133" s="172"/>
      <c r="M133" s="173"/>
      <c r="N133" s="27"/>
    </row>
    <row r="134" spans="1:14" x14ac:dyDescent="0.3">
      <c r="A134" s="20"/>
      <c r="B134" s="20"/>
      <c r="C134" s="24"/>
      <c r="D134" s="20"/>
      <c r="E134" s="23"/>
      <c r="F134" s="164"/>
      <c r="G134" s="170"/>
      <c r="H134" s="171"/>
      <c r="I134" s="173"/>
      <c r="J134" s="172"/>
      <c r="K134" s="173"/>
      <c r="L134" s="172"/>
      <c r="M134" s="173"/>
      <c r="N134" s="27"/>
    </row>
    <row r="135" spans="1:14" x14ac:dyDescent="0.3">
      <c r="A135" s="20"/>
      <c r="B135" s="20"/>
      <c r="C135" s="24"/>
      <c r="D135" s="20"/>
      <c r="E135" s="23"/>
      <c r="F135" s="164"/>
      <c r="G135" s="170"/>
      <c r="H135" s="171"/>
      <c r="I135" s="173"/>
      <c r="J135" s="172"/>
      <c r="K135" s="173"/>
      <c r="L135" s="172"/>
      <c r="M135" s="173"/>
      <c r="N135" s="27"/>
    </row>
    <row r="136" spans="1:14" x14ac:dyDescent="0.3">
      <c r="A136" s="20"/>
      <c r="B136" s="20"/>
      <c r="C136" s="24"/>
      <c r="D136" s="20"/>
      <c r="E136" s="23"/>
      <c r="F136" s="164"/>
      <c r="G136" s="170"/>
      <c r="H136" s="171"/>
      <c r="I136" s="173"/>
      <c r="J136" s="172"/>
      <c r="K136" s="173"/>
      <c r="L136" s="172"/>
      <c r="M136" s="173"/>
      <c r="N136" s="27"/>
    </row>
    <row r="137" spans="1:14" x14ac:dyDescent="0.3">
      <c r="A137" s="20"/>
      <c r="B137" s="20"/>
      <c r="C137" s="24"/>
      <c r="D137" s="20"/>
      <c r="E137" s="23"/>
      <c r="F137" s="164"/>
      <c r="G137" s="170"/>
      <c r="H137" s="171"/>
      <c r="I137" s="173"/>
      <c r="J137" s="172"/>
      <c r="K137" s="173"/>
      <c r="L137" s="172"/>
      <c r="M137" s="173"/>
      <c r="N137" s="27"/>
    </row>
    <row r="138" spans="1:14" x14ac:dyDescent="0.3">
      <c r="A138" s="20"/>
      <c r="B138" s="20"/>
      <c r="C138" s="24"/>
      <c r="D138" s="20"/>
      <c r="E138" s="23"/>
      <c r="F138" s="164"/>
      <c r="G138" s="170"/>
      <c r="H138" s="171"/>
      <c r="I138" s="173"/>
      <c r="J138" s="172"/>
      <c r="K138" s="173"/>
      <c r="L138" s="172"/>
      <c r="M138" s="173"/>
      <c r="N138" s="27"/>
    </row>
    <row r="139" spans="1:14" x14ac:dyDescent="0.3">
      <c r="A139" s="20"/>
      <c r="B139" s="20"/>
      <c r="C139" s="24"/>
      <c r="D139" s="20"/>
      <c r="E139" s="23"/>
      <c r="F139" s="164"/>
      <c r="G139" s="170"/>
      <c r="H139" s="171"/>
      <c r="I139" s="173"/>
      <c r="J139" s="172"/>
      <c r="K139" s="173"/>
      <c r="L139" s="172"/>
      <c r="M139" s="173"/>
      <c r="N139" s="27"/>
    </row>
    <row r="140" spans="1:14" x14ac:dyDescent="0.3">
      <c r="A140" s="20"/>
      <c r="B140" s="20"/>
      <c r="C140" s="24"/>
      <c r="D140" s="20"/>
      <c r="E140" s="23"/>
      <c r="F140" s="164"/>
      <c r="G140" s="170"/>
      <c r="H140" s="171"/>
      <c r="I140" s="173"/>
      <c r="J140" s="172"/>
      <c r="K140" s="173"/>
      <c r="L140" s="172"/>
      <c r="M140" s="173"/>
      <c r="N140" s="27"/>
    </row>
    <row r="141" spans="1:14" x14ac:dyDescent="0.3">
      <c r="A141" s="20"/>
      <c r="B141" s="20"/>
      <c r="C141" s="24"/>
      <c r="D141" s="20"/>
      <c r="E141" s="23"/>
      <c r="F141" s="164"/>
      <c r="G141" s="170"/>
      <c r="H141" s="171"/>
      <c r="I141" s="173"/>
      <c r="J141" s="172"/>
      <c r="K141" s="173"/>
      <c r="L141" s="172"/>
      <c r="M141" s="173"/>
      <c r="N141" s="27"/>
    </row>
    <row r="142" spans="1:14" x14ac:dyDescent="0.3">
      <c r="A142" s="20"/>
      <c r="B142" s="20"/>
      <c r="C142" s="24"/>
      <c r="D142" s="20"/>
      <c r="E142" s="23"/>
      <c r="F142" s="164"/>
      <c r="G142" s="170"/>
      <c r="H142" s="171"/>
      <c r="I142" s="173"/>
      <c r="J142" s="172"/>
      <c r="K142" s="173"/>
      <c r="L142" s="172"/>
      <c r="M142" s="173"/>
      <c r="N142" s="27"/>
    </row>
    <row r="143" spans="1:14" x14ac:dyDescent="0.3">
      <c r="A143" s="20"/>
      <c r="B143" s="20"/>
      <c r="C143" s="24"/>
      <c r="D143" s="20"/>
      <c r="E143" s="23"/>
      <c r="F143" s="164"/>
      <c r="G143" s="170"/>
      <c r="H143" s="171"/>
      <c r="I143" s="173"/>
      <c r="J143" s="172"/>
      <c r="K143" s="173"/>
      <c r="L143" s="172"/>
      <c r="M143" s="173"/>
      <c r="N143" s="27"/>
    </row>
    <row r="144" spans="1:14" x14ac:dyDescent="0.3">
      <c r="A144" s="20"/>
      <c r="B144" s="20"/>
      <c r="C144" s="24"/>
      <c r="D144" s="20"/>
      <c r="E144" s="23"/>
      <c r="F144" s="164"/>
      <c r="G144" s="170"/>
      <c r="H144" s="171"/>
      <c r="I144" s="173"/>
      <c r="J144" s="172"/>
      <c r="K144" s="173"/>
      <c r="L144" s="172"/>
      <c r="M144" s="173"/>
      <c r="N144" s="27"/>
    </row>
    <row r="145" spans="1:14" x14ac:dyDescent="0.3">
      <c r="A145" s="20"/>
      <c r="B145" s="20"/>
      <c r="C145" s="24"/>
      <c r="D145" s="20"/>
      <c r="E145" s="23"/>
      <c r="F145" s="164"/>
      <c r="G145" s="170"/>
      <c r="H145" s="171"/>
      <c r="I145" s="173"/>
      <c r="J145" s="172"/>
      <c r="K145" s="173"/>
      <c r="L145" s="172"/>
      <c r="M145" s="173"/>
      <c r="N145" s="27"/>
    </row>
    <row r="146" spans="1:14" x14ac:dyDescent="0.3">
      <c r="A146" s="20"/>
      <c r="B146" s="20"/>
      <c r="C146" s="24"/>
      <c r="D146" s="20"/>
      <c r="E146" s="23"/>
      <c r="F146" s="164"/>
      <c r="G146" s="170"/>
      <c r="H146" s="171"/>
      <c r="I146" s="173"/>
      <c r="J146" s="172"/>
      <c r="K146" s="173"/>
      <c r="L146" s="172"/>
      <c r="M146" s="173"/>
      <c r="N146" s="27"/>
    </row>
    <row r="147" spans="1:14" x14ac:dyDescent="0.3">
      <c r="A147" s="20"/>
      <c r="B147" s="20"/>
      <c r="C147" s="24"/>
      <c r="D147" s="20"/>
      <c r="E147" s="23"/>
      <c r="F147" s="164"/>
      <c r="G147" s="170"/>
      <c r="H147" s="171"/>
      <c r="I147" s="173"/>
      <c r="J147" s="172"/>
      <c r="K147" s="173"/>
      <c r="L147" s="172"/>
      <c r="M147" s="173"/>
      <c r="N147" s="27"/>
    </row>
    <row r="148" spans="1:14" x14ac:dyDescent="0.3">
      <c r="A148" s="20"/>
      <c r="B148" s="20"/>
      <c r="C148" s="24"/>
      <c r="D148" s="20"/>
      <c r="E148" s="23"/>
      <c r="F148" s="164"/>
      <c r="G148" s="170"/>
      <c r="H148" s="171"/>
      <c r="I148" s="173"/>
      <c r="J148" s="172"/>
      <c r="K148" s="173"/>
      <c r="L148" s="172"/>
      <c r="M148" s="173"/>
      <c r="N148" s="27"/>
    </row>
    <row r="149" spans="1:14" x14ac:dyDescent="0.3">
      <c r="A149" s="20"/>
      <c r="B149" s="20"/>
      <c r="C149" s="24"/>
      <c r="D149" s="20"/>
      <c r="E149" s="23"/>
      <c r="F149" s="164"/>
      <c r="G149" s="170"/>
      <c r="H149" s="171"/>
      <c r="I149" s="173"/>
      <c r="J149" s="172"/>
      <c r="K149" s="173"/>
      <c r="L149" s="172"/>
      <c r="M149" s="173"/>
      <c r="N149" s="27"/>
    </row>
    <row r="150" spans="1:14" x14ac:dyDescent="0.3">
      <c r="A150" s="20"/>
      <c r="B150" s="20"/>
      <c r="C150" s="24"/>
      <c r="D150" s="20"/>
      <c r="E150" s="23"/>
      <c r="F150" s="164"/>
      <c r="G150" s="170"/>
      <c r="H150" s="171"/>
      <c r="I150" s="173"/>
      <c r="J150" s="172"/>
      <c r="K150" s="173"/>
      <c r="L150" s="172"/>
      <c r="M150" s="173"/>
      <c r="N150" s="27"/>
    </row>
    <row r="151" spans="1:14" x14ac:dyDescent="0.3">
      <c r="A151" s="20"/>
      <c r="B151" s="20"/>
      <c r="C151" s="24"/>
      <c r="D151" s="20"/>
      <c r="E151" s="23"/>
      <c r="F151" s="164"/>
      <c r="G151" s="170"/>
      <c r="H151" s="171"/>
      <c r="I151" s="173"/>
      <c r="J151" s="172"/>
      <c r="K151" s="173"/>
      <c r="L151" s="172"/>
      <c r="M151" s="173"/>
      <c r="N151" s="27"/>
    </row>
    <row r="152" spans="1:14" x14ac:dyDescent="0.3">
      <c r="A152" s="20"/>
      <c r="B152" s="20"/>
      <c r="C152" s="24"/>
      <c r="D152" s="20"/>
      <c r="E152" s="23"/>
      <c r="F152" s="164"/>
      <c r="G152" s="170"/>
      <c r="H152" s="171"/>
      <c r="I152" s="173"/>
      <c r="J152" s="172"/>
      <c r="K152" s="173"/>
      <c r="L152" s="172"/>
      <c r="M152" s="173"/>
      <c r="N152" s="27"/>
    </row>
    <row r="153" spans="1:14" x14ac:dyDescent="0.3">
      <c r="A153" s="20"/>
      <c r="B153" s="20"/>
      <c r="C153" s="24"/>
      <c r="D153" s="20"/>
      <c r="E153" s="23"/>
      <c r="F153" s="164"/>
      <c r="G153" s="170"/>
      <c r="H153" s="171"/>
      <c r="I153" s="173"/>
      <c r="J153" s="172"/>
      <c r="K153" s="173"/>
      <c r="L153" s="172"/>
      <c r="M153" s="173"/>
      <c r="N153" s="27"/>
    </row>
    <row r="154" spans="1:14" x14ac:dyDescent="0.3">
      <c r="A154" s="20"/>
      <c r="B154" s="20"/>
      <c r="C154" s="24"/>
      <c r="D154" s="20"/>
      <c r="E154" s="23"/>
      <c r="F154" s="164"/>
      <c r="G154" s="170"/>
      <c r="H154" s="171"/>
      <c r="I154" s="173"/>
      <c r="J154" s="172"/>
      <c r="K154" s="173"/>
      <c r="L154" s="172"/>
      <c r="M154" s="173"/>
      <c r="N154" s="27"/>
    </row>
    <row r="155" spans="1:14" x14ac:dyDescent="0.3">
      <c r="A155" s="20"/>
      <c r="B155" s="20"/>
      <c r="C155" s="24"/>
      <c r="D155" s="20"/>
      <c r="E155" s="23"/>
      <c r="F155" s="164"/>
      <c r="G155" s="170"/>
      <c r="H155" s="171"/>
      <c r="I155" s="173"/>
      <c r="J155" s="172"/>
      <c r="K155" s="173"/>
      <c r="L155" s="172"/>
      <c r="M155" s="173"/>
      <c r="N155" s="27"/>
    </row>
    <row r="156" spans="1:14" x14ac:dyDescent="0.3">
      <c r="A156" s="20"/>
      <c r="B156" s="20"/>
      <c r="C156" s="24"/>
      <c r="D156" s="20"/>
      <c r="E156" s="23"/>
      <c r="F156" s="164"/>
      <c r="G156" s="170"/>
      <c r="H156" s="171"/>
      <c r="I156" s="173"/>
      <c r="J156" s="172"/>
      <c r="K156" s="173"/>
      <c r="L156" s="172"/>
      <c r="M156" s="173"/>
      <c r="N156" s="27"/>
    </row>
    <row r="157" spans="1:14" x14ac:dyDescent="0.3">
      <c r="A157" s="20"/>
      <c r="B157" s="20"/>
      <c r="C157" s="24"/>
      <c r="D157" s="20"/>
      <c r="E157" s="23"/>
      <c r="F157" s="164"/>
      <c r="G157" s="170"/>
      <c r="H157" s="171"/>
      <c r="I157" s="173"/>
      <c r="J157" s="172"/>
      <c r="K157" s="173"/>
      <c r="L157" s="172"/>
      <c r="M157" s="173"/>
      <c r="N157" s="27"/>
    </row>
    <row r="158" spans="1:14" x14ac:dyDescent="0.3">
      <c r="A158" s="20"/>
      <c r="B158" s="20"/>
      <c r="C158" s="24"/>
      <c r="D158" s="20"/>
      <c r="E158" s="23"/>
      <c r="F158" s="164"/>
      <c r="G158" s="170"/>
      <c r="H158" s="171"/>
      <c r="I158" s="173"/>
      <c r="J158" s="172"/>
      <c r="K158" s="173"/>
      <c r="L158" s="172"/>
      <c r="M158" s="173"/>
      <c r="N158" s="27"/>
    </row>
    <row r="159" spans="1:14" x14ac:dyDescent="0.3">
      <c r="A159" s="20"/>
      <c r="B159" s="20"/>
      <c r="C159" s="24"/>
      <c r="D159" s="20"/>
      <c r="E159" s="23"/>
      <c r="F159" s="164"/>
      <c r="G159" s="170"/>
      <c r="H159" s="171"/>
      <c r="I159" s="173"/>
      <c r="J159" s="172"/>
      <c r="K159" s="173"/>
      <c r="L159" s="172"/>
      <c r="M159" s="173"/>
      <c r="N159" s="27"/>
    </row>
    <row r="160" spans="1:14" x14ac:dyDescent="0.3">
      <c r="A160" s="20"/>
      <c r="B160" s="20"/>
      <c r="C160" s="24"/>
      <c r="D160" s="20"/>
      <c r="E160" s="23"/>
      <c r="F160" s="164"/>
      <c r="G160" s="170"/>
      <c r="H160" s="171"/>
      <c r="I160" s="173"/>
      <c r="J160" s="172"/>
      <c r="K160" s="173"/>
      <c r="L160" s="172"/>
      <c r="M160" s="173"/>
      <c r="N160" s="27"/>
    </row>
    <row r="161" spans="1:14" x14ac:dyDescent="0.3">
      <c r="A161" s="20"/>
      <c r="B161" s="20"/>
      <c r="C161" s="24"/>
      <c r="D161" s="20"/>
      <c r="E161" s="23"/>
      <c r="F161" s="164"/>
      <c r="G161" s="170"/>
      <c r="H161" s="171"/>
      <c r="I161" s="173"/>
      <c r="J161" s="172"/>
      <c r="K161" s="173"/>
      <c r="L161" s="172"/>
      <c r="M161" s="173"/>
      <c r="N161" s="27"/>
    </row>
    <row r="162" spans="1:14" x14ac:dyDescent="0.3">
      <c r="A162" s="20"/>
      <c r="B162" s="20"/>
      <c r="C162" s="24"/>
      <c r="D162" s="20"/>
      <c r="E162" s="23"/>
      <c r="F162" s="164"/>
      <c r="G162" s="170"/>
      <c r="H162" s="171"/>
      <c r="I162" s="173"/>
      <c r="J162" s="172"/>
      <c r="K162" s="173"/>
      <c r="L162" s="172"/>
      <c r="M162" s="173"/>
      <c r="N162" s="27"/>
    </row>
    <row r="163" spans="1:14" x14ac:dyDescent="0.3">
      <c r="A163" s="20"/>
      <c r="B163" s="20"/>
      <c r="C163" s="24"/>
      <c r="D163" s="20"/>
      <c r="E163" s="23"/>
      <c r="F163" s="164"/>
      <c r="G163" s="170"/>
      <c r="H163" s="171"/>
      <c r="I163" s="173"/>
      <c r="J163" s="172"/>
      <c r="K163" s="173"/>
      <c r="L163" s="172"/>
      <c r="M163" s="173"/>
      <c r="N163" s="27"/>
    </row>
    <row r="164" spans="1:14" x14ac:dyDescent="0.3">
      <c r="A164" s="20"/>
      <c r="B164" s="20"/>
      <c r="C164" s="24"/>
      <c r="D164" s="20"/>
      <c r="E164" s="23"/>
      <c r="F164" s="164"/>
      <c r="G164" s="170"/>
      <c r="H164" s="171"/>
      <c r="I164" s="173"/>
      <c r="J164" s="172"/>
      <c r="K164" s="173"/>
      <c r="L164" s="172"/>
      <c r="M164" s="173"/>
      <c r="N164" s="27"/>
    </row>
    <row r="165" spans="1:14" x14ac:dyDescent="0.3">
      <c r="A165" s="20"/>
      <c r="B165" s="20"/>
      <c r="C165" s="24"/>
      <c r="D165" s="20"/>
      <c r="E165" s="23"/>
      <c r="F165" s="164"/>
      <c r="G165" s="170"/>
      <c r="H165" s="171"/>
      <c r="I165" s="173"/>
      <c r="J165" s="172"/>
      <c r="K165" s="173"/>
      <c r="L165" s="172"/>
      <c r="M165" s="173"/>
      <c r="N165" s="27"/>
    </row>
    <row r="166" spans="1:14" x14ac:dyDescent="0.3">
      <c r="A166" s="20"/>
      <c r="B166" s="20"/>
      <c r="C166" s="24"/>
      <c r="D166" s="20"/>
      <c r="E166" s="23"/>
      <c r="F166" s="164"/>
      <c r="G166" s="170"/>
      <c r="H166" s="171"/>
      <c r="I166" s="173"/>
      <c r="J166" s="172"/>
      <c r="K166" s="173"/>
      <c r="L166" s="172"/>
      <c r="M166" s="173"/>
      <c r="N166" s="27"/>
    </row>
    <row r="167" spans="1:14" x14ac:dyDescent="0.3">
      <c r="A167" s="20"/>
      <c r="B167" s="20"/>
      <c r="C167" s="24"/>
      <c r="D167" s="20"/>
      <c r="E167" s="23"/>
      <c r="F167" s="164"/>
      <c r="G167" s="170"/>
      <c r="H167" s="171"/>
      <c r="I167" s="173"/>
      <c r="J167" s="172"/>
      <c r="K167" s="173"/>
      <c r="L167" s="172"/>
      <c r="M167" s="173"/>
      <c r="N167" s="27"/>
    </row>
    <row r="168" spans="1:14" x14ac:dyDescent="0.3">
      <c r="A168" s="20"/>
      <c r="B168" s="20"/>
      <c r="C168" s="24"/>
      <c r="D168" s="20"/>
      <c r="E168" s="23"/>
      <c r="F168" s="164"/>
      <c r="G168" s="170"/>
      <c r="H168" s="171"/>
      <c r="I168" s="173"/>
      <c r="J168" s="172"/>
      <c r="K168" s="173"/>
      <c r="L168" s="172"/>
      <c r="M168" s="173"/>
      <c r="N168" s="27"/>
    </row>
    <row r="169" spans="1:14" x14ac:dyDescent="0.3">
      <c r="A169" s="20"/>
      <c r="B169" s="20"/>
      <c r="C169" s="24"/>
      <c r="D169" s="20"/>
      <c r="E169" s="23"/>
      <c r="F169" s="164"/>
      <c r="G169" s="170"/>
      <c r="H169" s="171"/>
      <c r="I169" s="173"/>
      <c r="J169" s="172"/>
      <c r="K169" s="173"/>
      <c r="L169" s="172"/>
      <c r="M169" s="173"/>
      <c r="N169" s="27"/>
    </row>
    <row r="170" spans="1:14" x14ac:dyDescent="0.3">
      <c r="A170" s="20"/>
      <c r="B170" s="20"/>
      <c r="C170" s="24"/>
      <c r="D170" s="20"/>
      <c r="E170" s="23"/>
      <c r="F170" s="164"/>
      <c r="G170" s="170"/>
      <c r="H170" s="171"/>
      <c r="I170" s="173"/>
      <c r="J170" s="172"/>
      <c r="K170" s="173"/>
      <c r="L170" s="172"/>
      <c r="M170" s="173"/>
      <c r="N170" s="27"/>
    </row>
    <row r="171" spans="1:14" x14ac:dyDescent="0.3">
      <c r="A171" s="20"/>
      <c r="B171" s="20"/>
      <c r="C171" s="24"/>
      <c r="D171" s="20"/>
      <c r="E171" s="23"/>
      <c r="F171" s="164"/>
      <c r="G171" s="170"/>
      <c r="H171" s="171"/>
      <c r="I171" s="173"/>
      <c r="J171" s="172"/>
      <c r="K171" s="173"/>
      <c r="L171" s="172"/>
      <c r="M171" s="173"/>
      <c r="N171" s="27"/>
    </row>
    <row r="172" spans="1:14" x14ac:dyDescent="0.3">
      <c r="A172" s="20"/>
      <c r="B172" s="20"/>
      <c r="C172" s="24"/>
      <c r="D172" s="20"/>
      <c r="E172" s="23"/>
      <c r="F172" s="164"/>
      <c r="G172" s="170"/>
      <c r="H172" s="171"/>
      <c r="I172" s="173"/>
      <c r="J172" s="172"/>
      <c r="K172" s="173"/>
      <c r="L172" s="172"/>
      <c r="M172" s="173"/>
      <c r="N172" s="27"/>
    </row>
    <row r="173" spans="1:14" x14ac:dyDescent="0.3">
      <c r="A173" s="20"/>
      <c r="B173" s="20"/>
      <c r="C173" s="24"/>
      <c r="D173" s="20"/>
      <c r="E173" s="23"/>
      <c r="F173" s="164"/>
      <c r="G173" s="170"/>
      <c r="H173" s="171"/>
      <c r="I173" s="173"/>
      <c r="J173" s="172"/>
      <c r="K173" s="173"/>
      <c r="L173" s="172"/>
      <c r="M173" s="173"/>
      <c r="N173" s="27"/>
    </row>
    <row r="174" spans="1:14" x14ac:dyDescent="0.3">
      <c r="A174" s="20"/>
      <c r="B174" s="20"/>
      <c r="C174" s="24"/>
      <c r="D174" s="20"/>
      <c r="E174" s="23"/>
      <c r="F174" s="164"/>
      <c r="G174" s="170"/>
      <c r="H174" s="171"/>
      <c r="I174" s="173"/>
      <c r="J174" s="172"/>
      <c r="K174" s="173"/>
      <c r="L174" s="172"/>
      <c r="M174" s="173"/>
      <c r="N174" s="27"/>
    </row>
    <row r="175" spans="1:14" x14ac:dyDescent="0.3">
      <c r="A175" s="20"/>
      <c r="B175" s="20"/>
      <c r="C175" s="24"/>
      <c r="D175" s="20"/>
      <c r="E175" s="23"/>
      <c r="F175" s="164"/>
      <c r="G175" s="170"/>
      <c r="H175" s="171"/>
      <c r="I175" s="173"/>
      <c r="J175" s="172"/>
      <c r="K175" s="173"/>
      <c r="L175" s="172"/>
      <c r="M175" s="173"/>
      <c r="N175" s="27"/>
    </row>
    <row r="176" spans="1:14" x14ac:dyDescent="0.3">
      <c r="A176" s="20"/>
      <c r="B176" s="20"/>
      <c r="C176" s="24"/>
      <c r="D176" s="20"/>
      <c r="E176" s="23"/>
      <c r="F176" s="164"/>
      <c r="G176" s="170"/>
      <c r="H176" s="171"/>
      <c r="I176" s="173"/>
      <c r="J176" s="172"/>
      <c r="K176" s="173"/>
      <c r="L176" s="172"/>
      <c r="M176" s="173"/>
      <c r="N176" s="27"/>
    </row>
    <row r="177" spans="1:14" x14ac:dyDescent="0.3">
      <c r="A177" s="20"/>
      <c r="B177" s="20"/>
      <c r="C177" s="24"/>
      <c r="D177" s="20"/>
      <c r="E177" s="23"/>
      <c r="F177" s="164"/>
      <c r="G177" s="170"/>
      <c r="H177" s="171"/>
      <c r="I177" s="173"/>
      <c r="J177" s="172"/>
      <c r="K177" s="173"/>
      <c r="L177" s="172"/>
      <c r="M177" s="173"/>
      <c r="N177" s="27"/>
    </row>
    <row r="178" spans="1:14" x14ac:dyDescent="0.3">
      <c r="A178" s="20"/>
      <c r="B178" s="20"/>
      <c r="C178" s="24"/>
      <c r="D178" s="20"/>
      <c r="E178" s="23"/>
      <c r="F178" s="164"/>
      <c r="G178" s="170"/>
      <c r="H178" s="171"/>
      <c r="I178" s="173"/>
      <c r="J178" s="172"/>
      <c r="K178" s="173"/>
      <c r="L178" s="172"/>
      <c r="M178" s="173"/>
      <c r="N178" s="27"/>
    </row>
    <row r="179" spans="1:14" x14ac:dyDescent="0.3">
      <c r="A179" s="20"/>
      <c r="B179" s="20"/>
      <c r="C179" s="24"/>
      <c r="D179" s="20"/>
      <c r="E179" s="23"/>
      <c r="F179" s="164"/>
      <c r="G179" s="170"/>
      <c r="H179" s="171"/>
      <c r="I179" s="173"/>
      <c r="J179" s="172"/>
      <c r="K179" s="173"/>
      <c r="L179" s="172"/>
      <c r="M179" s="173"/>
      <c r="N179" s="27"/>
    </row>
    <row r="180" spans="1:14" x14ac:dyDescent="0.3">
      <c r="A180" s="20"/>
      <c r="B180" s="20"/>
      <c r="C180" s="24"/>
      <c r="D180" s="20"/>
      <c r="E180" s="23"/>
      <c r="F180" s="164"/>
      <c r="G180" s="170"/>
      <c r="H180" s="171"/>
      <c r="I180" s="173"/>
      <c r="J180" s="172"/>
      <c r="K180" s="173"/>
      <c r="L180" s="172"/>
      <c r="M180" s="173"/>
      <c r="N180" s="27"/>
    </row>
    <row r="181" spans="1:14" x14ac:dyDescent="0.3">
      <c r="A181" s="20"/>
      <c r="B181" s="20"/>
      <c r="C181" s="24"/>
      <c r="D181" s="20"/>
      <c r="E181" s="23"/>
      <c r="F181" s="164"/>
      <c r="G181" s="170"/>
      <c r="H181" s="171"/>
      <c r="I181" s="173"/>
      <c r="J181" s="172"/>
      <c r="K181" s="173"/>
      <c r="L181" s="172"/>
      <c r="M181" s="173"/>
      <c r="N181" s="27"/>
    </row>
    <row r="182" spans="1:14" x14ac:dyDescent="0.3">
      <c r="A182" s="20"/>
      <c r="B182" s="20"/>
      <c r="C182" s="24"/>
      <c r="D182" s="20"/>
      <c r="E182" s="23"/>
      <c r="F182" s="164"/>
      <c r="G182" s="170"/>
      <c r="H182" s="171"/>
      <c r="I182" s="173"/>
      <c r="J182" s="172"/>
      <c r="K182" s="173"/>
      <c r="L182" s="172"/>
      <c r="M182" s="173"/>
      <c r="N182" s="27"/>
    </row>
    <row r="183" spans="1:14" x14ac:dyDescent="0.3">
      <c r="A183" s="20"/>
      <c r="B183" s="20"/>
      <c r="C183" s="24"/>
      <c r="D183" s="20"/>
      <c r="E183" s="23"/>
      <c r="F183" s="164"/>
      <c r="G183" s="170"/>
      <c r="H183" s="171"/>
      <c r="I183" s="173"/>
      <c r="J183" s="172"/>
      <c r="K183" s="173"/>
      <c r="L183" s="172"/>
      <c r="M183" s="173"/>
      <c r="N183" s="27"/>
    </row>
    <row r="184" spans="1:14" x14ac:dyDescent="0.3">
      <c r="A184" s="20"/>
      <c r="B184" s="20"/>
      <c r="C184" s="24"/>
      <c r="D184" s="20"/>
      <c r="E184" s="23"/>
      <c r="F184" s="164"/>
      <c r="G184" s="170"/>
      <c r="H184" s="171"/>
      <c r="I184" s="173"/>
      <c r="J184" s="172"/>
      <c r="K184" s="173"/>
      <c r="L184" s="172"/>
      <c r="M184" s="173"/>
      <c r="N184" s="27"/>
    </row>
    <row r="185" spans="1:14" x14ac:dyDescent="0.3">
      <c r="A185" s="20"/>
      <c r="B185" s="20"/>
      <c r="C185" s="24"/>
      <c r="D185" s="20"/>
      <c r="E185" s="23"/>
      <c r="F185" s="164"/>
      <c r="G185" s="170"/>
      <c r="H185" s="171"/>
      <c r="I185" s="173"/>
      <c r="J185" s="172"/>
      <c r="K185" s="173"/>
      <c r="L185" s="172"/>
      <c r="M185" s="173"/>
      <c r="N185" s="27"/>
    </row>
    <row r="186" spans="1:14" x14ac:dyDescent="0.3">
      <c r="A186" s="20"/>
      <c r="B186" s="20"/>
      <c r="C186" s="24"/>
      <c r="D186" s="20"/>
      <c r="E186" s="23"/>
      <c r="F186" s="164"/>
      <c r="G186" s="170"/>
      <c r="H186" s="171"/>
      <c r="I186" s="173"/>
      <c r="J186" s="172"/>
      <c r="K186" s="173"/>
      <c r="L186" s="172"/>
      <c r="M186" s="173"/>
      <c r="N186" s="27"/>
    </row>
    <row r="187" spans="1:14" x14ac:dyDescent="0.3">
      <c r="A187" s="20"/>
      <c r="B187" s="20"/>
      <c r="C187" s="24"/>
      <c r="D187" s="20"/>
      <c r="E187" s="23"/>
      <c r="F187" s="164"/>
      <c r="G187" s="170"/>
      <c r="H187" s="171"/>
      <c r="I187" s="173"/>
      <c r="J187" s="172"/>
      <c r="K187" s="173"/>
      <c r="L187" s="172"/>
      <c r="M187" s="173"/>
      <c r="N187" s="27"/>
    </row>
    <row r="188" spans="1:14" x14ac:dyDescent="0.3">
      <c r="A188" s="20"/>
      <c r="B188" s="20"/>
      <c r="C188" s="24"/>
      <c r="D188" s="20"/>
      <c r="E188" s="23"/>
      <c r="F188" s="164"/>
      <c r="G188" s="170"/>
      <c r="H188" s="171"/>
      <c r="I188" s="173"/>
      <c r="J188" s="172"/>
      <c r="K188" s="173"/>
      <c r="L188" s="172"/>
      <c r="M188" s="173"/>
      <c r="N188" s="27"/>
    </row>
    <row r="189" spans="1:14" x14ac:dyDescent="0.3">
      <c r="A189" s="20"/>
      <c r="B189" s="20"/>
      <c r="C189" s="24"/>
      <c r="D189" s="20"/>
      <c r="E189" s="23"/>
      <c r="F189" s="164"/>
      <c r="G189" s="170"/>
      <c r="H189" s="171"/>
      <c r="I189" s="173"/>
      <c r="J189" s="172"/>
      <c r="K189" s="173"/>
      <c r="L189" s="172"/>
      <c r="M189" s="173"/>
      <c r="N189" s="27"/>
    </row>
    <row r="190" spans="1:14" x14ac:dyDescent="0.3">
      <c r="A190" s="20"/>
      <c r="B190" s="20"/>
      <c r="C190" s="24"/>
      <c r="D190" s="20"/>
      <c r="E190" s="23"/>
      <c r="F190" s="164"/>
      <c r="G190" s="170"/>
      <c r="H190" s="171"/>
      <c r="I190" s="173"/>
      <c r="J190" s="172"/>
      <c r="K190" s="173"/>
      <c r="L190" s="172"/>
      <c r="M190" s="173"/>
      <c r="N190" s="27"/>
    </row>
    <row r="191" spans="1:14" x14ac:dyDescent="0.3">
      <c r="A191" s="20"/>
      <c r="B191" s="20"/>
      <c r="C191" s="24"/>
      <c r="D191" s="20"/>
      <c r="E191" s="23"/>
      <c r="F191" s="164"/>
      <c r="G191" s="170"/>
      <c r="H191" s="171"/>
      <c r="I191" s="173"/>
      <c r="J191" s="172"/>
      <c r="K191" s="173"/>
      <c r="L191" s="172"/>
      <c r="M191" s="173"/>
      <c r="N191" s="27"/>
    </row>
    <row r="192" spans="1:14" x14ac:dyDescent="0.3">
      <c r="A192" s="20"/>
      <c r="B192" s="20"/>
      <c r="C192" s="24"/>
      <c r="D192" s="20"/>
      <c r="E192" s="23"/>
      <c r="F192" s="164"/>
      <c r="G192" s="170"/>
      <c r="H192" s="171"/>
      <c r="I192" s="173"/>
      <c r="J192" s="172"/>
      <c r="K192" s="173"/>
      <c r="L192" s="172"/>
      <c r="M192" s="173"/>
      <c r="N192" s="27"/>
    </row>
    <row r="193" spans="1:14" x14ac:dyDescent="0.3">
      <c r="A193" s="20"/>
      <c r="B193" s="20"/>
      <c r="C193" s="24"/>
      <c r="D193" s="20"/>
      <c r="E193" s="23"/>
      <c r="F193" s="164"/>
      <c r="G193" s="170"/>
      <c r="H193" s="171"/>
      <c r="I193" s="173"/>
      <c r="J193" s="172"/>
      <c r="K193" s="173"/>
      <c r="L193" s="172"/>
      <c r="M193" s="173"/>
      <c r="N193" s="27"/>
    </row>
    <row r="194" spans="1:14" x14ac:dyDescent="0.3">
      <c r="A194" s="20"/>
      <c r="B194" s="20"/>
      <c r="C194" s="24"/>
      <c r="D194" s="20"/>
      <c r="E194" s="23"/>
      <c r="F194" s="164"/>
      <c r="G194" s="170"/>
      <c r="H194" s="171"/>
      <c r="I194" s="173"/>
      <c r="J194" s="172"/>
      <c r="K194" s="173"/>
      <c r="L194" s="172"/>
      <c r="M194" s="173"/>
      <c r="N194" s="27"/>
    </row>
    <row r="195" spans="1:14" x14ac:dyDescent="0.3">
      <c r="A195" s="20"/>
      <c r="B195" s="20"/>
      <c r="C195" s="24"/>
      <c r="D195" s="20"/>
      <c r="E195" s="23"/>
      <c r="F195" s="164"/>
      <c r="G195" s="170"/>
      <c r="H195" s="171"/>
      <c r="I195" s="173"/>
      <c r="J195" s="172"/>
      <c r="K195" s="173"/>
      <c r="L195" s="172"/>
      <c r="M195" s="173"/>
      <c r="N195" s="27"/>
    </row>
    <row r="196" spans="1:14" x14ac:dyDescent="0.3">
      <c r="A196" s="20"/>
      <c r="B196" s="20"/>
      <c r="C196" s="24"/>
      <c r="D196" s="20"/>
      <c r="E196" s="23"/>
      <c r="F196" s="164"/>
      <c r="G196" s="170"/>
      <c r="H196" s="171"/>
      <c r="I196" s="173"/>
      <c r="J196" s="172"/>
      <c r="K196" s="173"/>
      <c r="L196" s="172"/>
      <c r="M196" s="173"/>
      <c r="N196" s="27"/>
    </row>
    <row r="197" spans="1:14" x14ac:dyDescent="0.3">
      <c r="A197" s="20"/>
      <c r="B197" s="20"/>
      <c r="C197" s="24"/>
      <c r="D197" s="20"/>
      <c r="E197" s="23"/>
      <c r="F197" s="164"/>
      <c r="G197" s="170"/>
      <c r="H197" s="171"/>
      <c r="I197" s="173"/>
      <c r="J197" s="172"/>
      <c r="K197" s="173"/>
      <c r="L197" s="172"/>
      <c r="M197" s="173"/>
      <c r="N197" s="27"/>
    </row>
    <row r="198" spans="1:14" x14ac:dyDescent="0.3">
      <c r="A198" s="20"/>
      <c r="B198" s="20"/>
      <c r="C198" s="24"/>
      <c r="D198" s="20"/>
      <c r="E198" s="23"/>
      <c r="F198" s="164"/>
      <c r="G198" s="170"/>
      <c r="H198" s="171"/>
      <c r="I198" s="173"/>
      <c r="J198" s="172"/>
      <c r="K198" s="173"/>
      <c r="L198" s="172"/>
      <c r="M198" s="173"/>
      <c r="N198" s="27"/>
    </row>
    <row r="199" spans="1:14" x14ac:dyDescent="0.3">
      <c r="A199" s="20"/>
      <c r="B199" s="20"/>
      <c r="C199" s="24"/>
      <c r="D199" s="20"/>
      <c r="E199" s="23"/>
      <c r="F199" s="164"/>
      <c r="G199" s="170"/>
      <c r="H199" s="171"/>
      <c r="I199" s="173"/>
      <c r="J199" s="172"/>
      <c r="K199" s="173"/>
      <c r="L199" s="172"/>
      <c r="M199" s="173"/>
      <c r="N199" s="27"/>
    </row>
    <row r="200" spans="1:14" x14ac:dyDescent="0.3">
      <c r="A200" s="20"/>
      <c r="B200" s="20"/>
      <c r="C200" s="24"/>
      <c r="D200" s="20"/>
      <c r="E200" s="23"/>
      <c r="F200" s="164"/>
      <c r="G200" s="170"/>
      <c r="H200" s="171"/>
      <c r="I200" s="173"/>
      <c r="J200" s="172"/>
      <c r="K200" s="173"/>
      <c r="L200" s="172"/>
      <c r="M200" s="173"/>
      <c r="N200" s="27"/>
    </row>
    <row r="201" spans="1:14" x14ac:dyDescent="0.3">
      <c r="A201" s="20"/>
      <c r="B201" s="20"/>
      <c r="C201" s="24"/>
      <c r="D201" s="20"/>
      <c r="E201" s="23"/>
      <c r="F201" s="164"/>
      <c r="G201" s="170"/>
      <c r="H201" s="171"/>
      <c r="I201" s="173"/>
      <c r="J201" s="172"/>
      <c r="K201" s="173"/>
      <c r="L201" s="172"/>
      <c r="M201" s="173"/>
      <c r="N201" s="27"/>
    </row>
    <row r="202" spans="1:14" x14ac:dyDescent="0.3">
      <c r="A202" s="20"/>
      <c r="B202" s="20"/>
      <c r="C202" s="24"/>
      <c r="D202" s="20"/>
      <c r="E202" s="23"/>
      <c r="F202" s="164"/>
      <c r="G202" s="170"/>
      <c r="H202" s="171"/>
      <c r="I202" s="173"/>
      <c r="J202" s="172"/>
      <c r="K202" s="173"/>
      <c r="L202" s="172"/>
      <c r="M202" s="173"/>
      <c r="N202" s="27"/>
    </row>
    <row r="203" spans="1:14" x14ac:dyDescent="0.3">
      <c r="A203" s="20"/>
      <c r="B203" s="20"/>
      <c r="C203" s="24"/>
      <c r="D203" s="20"/>
      <c r="E203" s="23"/>
      <c r="F203" s="164"/>
      <c r="G203" s="170"/>
      <c r="H203" s="171"/>
      <c r="I203" s="173"/>
      <c r="J203" s="172"/>
      <c r="K203" s="173"/>
      <c r="L203" s="172"/>
      <c r="M203" s="173"/>
      <c r="N203" s="27"/>
    </row>
    <row r="204" spans="1:14" x14ac:dyDescent="0.3">
      <c r="A204" s="20"/>
      <c r="B204" s="20"/>
      <c r="C204" s="24"/>
      <c r="D204" s="20"/>
      <c r="E204" s="23"/>
      <c r="F204" s="164"/>
      <c r="G204" s="170"/>
      <c r="H204" s="171"/>
      <c r="I204" s="173"/>
      <c r="J204" s="172"/>
      <c r="K204" s="173"/>
      <c r="L204" s="172"/>
      <c r="M204" s="173"/>
      <c r="N204" s="27"/>
    </row>
    <row r="205" spans="1:14" x14ac:dyDescent="0.3">
      <c r="A205" s="20"/>
      <c r="B205" s="20"/>
      <c r="C205" s="24"/>
      <c r="D205" s="20"/>
      <c r="E205" s="23"/>
      <c r="F205" s="164"/>
      <c r="G205" s="170"/>
      <c r="H205" s="171"/>
      <c r="I205" s="173"/>
      <c r="J205" s="172"/>
      <c r="K205" s="173"/>
      <c r="L205" s="172"/>
      <c r="M205" s="173"/>
      <c r="N205" s="27"/>
    </row>
    <row r="206" spans="1:14" x14ac:dyDescent="0.3">
      <c r="A206" s="20"/>
      <c r="B206" s="20"/>
      <c r="C206" s="24"/>
      <c r="D206" s="20"/>
      <c r="E206" s="23"/>
      <c r="F206" s="164"/>
      <c r="G206" s="170"/>
      <c r="H206" s="171"/>
      <c r="I206" s="173"/>
      <c r="J206" s="172"/>
      <c r="K206" s="173"/>
      <c r="L206" s="172"/>
      <c r="M206" s="173"/>
      <c r="N206" s="27"/>
    </row>
    <row r="207" spans="1:14" x14ac:dyDescent="0.3">
      <c r="A207" s="20"/>
      <c r="B207" s="20"/>
      <c r="C207" s="24"/>
      <c r="D207" s="20"/>
      <c r="E207" s="23"/>
      <c r="F207" s="164"/>
      <c r="G207" s="170"/>
      <c r="H207" s="171"/>
      <c r="I207" s="173"/>
      <c r="J207" s="172"/>
      <c r="K207" s="173"/>
      <c r="L207" s="172"/>
      <c r="M207" s="173"/>
      <c r="N207" s="27"/>
    </row>
    <row r="208" spans="1:14" x14ac:dyDescent="0.3">
      <c r="A208" s="20"/>
      <c r="B208" s="20"/>
      <c r="C208" s="24"/>
      <c r="D208" s="20"/>
      <c r="E208" s="23"/>
      <c r="F208" s="164"/>
      <c r="G208" s="170"/>
      <c r="H208" s="171"/>
      <c r="I208" s="173"/>
      <c r="J208" s="172"/>
      <c r="K208" s="173"/>
      <c r="L208" s="172"/>
      <c r="M208" s="173"/>
      <c r="N208" s="27"/>
    </row>
    <row r="209" spans="1:14" x14ac:dyDescent="0.3">
      <c r="A209" s="20"/>
      <c r="B209" s="20"/>
      <c r="C209" s="24"/>
      <c r="D209" s="20"/>
      <c r="E209" s="23"/>
      <c r="F209" s="164"/>
      <c r="G209" s="170"/>
      <c r="H209" s="171"/>
      <c r="I209" s="173"/>
      <c r="J209" s="172"/>
      <c r="K209" s="173"/>
      <c r="L209" s="172"/>
      <c r="M209" s="173"/>
      <c r="N209" s="27"/>
    </row>
    <row r="210" spans="1:14" x14ac:dyDescent="0.3">
      <c r="A210" s="20"/>
      <c r="B210" s="20"/>
      <c r="C210" s="24"/>
      <c r="D210" s="20"/>
      <c r="E210" s="23"/>
      <c r="F210" s="164"/>
      <c r="G210" s="170"/>
      <c r="H210" s="171"/>
      <c r="I210" s="173"/>
      <c r="J210" s="172"/>
      <c r="K210" s="173"/>
      <c r="L210" s="172"/>
      <c r="M210" s="173"/>
      <c r="N210" s="27"/>
    </row>
    <row r="211" spans="1:14" x14ac:dyDescent="0.3">
      <c r="A211" s="20"/>
      <c r="B211" s="20"/>
      <c r="C211" s="24"/>
      <c r="D211" s="20"/>
      <c r="E211" s="23"/>
      <c r="F211" s="164"/>
      <c r="G211" s="170"/>
      <c r="H211" s="171"/>
      <c r="I211" s="173"/>
      <c r="J211" s="172"/>
      <c r="K211" s="173"/>
      <c r="L211" s="172"/>
      <c r="M211" s="173"/>
      <c r="N211" s="27"/>
    </row>
    <row r="212" spans="1:14" x14ac:dyDescent="0.3">
      <c r="A212" s="20"/>
      <c r="B212" s="20"/>
      <c r="C212" s="24"/>
      <c r="D212" s="20"/>
      <c r="E212" s="23"/>
      <c r="F212" s="164"/>
      <c r="G212" s="170"/>
      <c r="H212" s="171"/>
      <c r="I212" s="173"/>
      <c r="J212" s="172"/>
      <c r="K212" s="173"/>
      <c r="L212" s="172"/>
      <c r="M212" s="173"/>
      <c r="N212" s="27"/>
    </row>
    <row r="213" spans="1:14" x14ac:dyDescent="0.3">
      <c r="A213" s="20"/>
      <c r="B213" s="20"/>
      <c r="C213" s="24"/>
      <c r="D213" s="20"/>
      <c r="E213" s="23"/>
      <c r="F213" s="164"/>
      <c r="G213" s="170"/>
      <c r="H213" s="171"/>
      <c r="I213" s="173"/>
      <c r="J213" s="172"/>
      <c r="K213" s="173"/>
      <c r="L213" s="172"/>
      <c r="M213" s="173"/>
      <c r="N213" s="27"/>
    </row>
    <row r="214" spans="1:14" x14ac:dyDescent="0.3">
      <c r="A214" s="20"/>
      <c r="B214" s="20"/>
      <c r="C214" s="24"/>
      <c r="D214" s="20"/>
      <c r="E214" s="23"/>
      <c r="F214" s="164"/>
      <c r="G214" s="170"/>
      <c r="H214" s="171"/>
      <c r="I214" s="173"/>
      <c r="J214" s="172"/>
      <c r="K214" s="173"/>
      <c r="L214" s="172"/>
      <c r="M214" s="173"/>
      <c r="N214" s="27"/>
    </row>
    <row r="215" spans="1:14" x14ac:dyDescent="0.3">
      <c r="A215" s="20"/>
      <c r="B215" s="20"/>
      <c r="C215" s="24"/>
      <c r="D215" s="20"/>
      <c r="E215" s="23"/>
      <c r="F215" s="164"/>
      <c r="G215" s="170"/>
      <c r="H215" s="171"/>
      <c r="I215" s="173"/>
      <c r="J215" s="172"/>
      <c r="K215" s="173"/>
      <c r="L215" s="172"/>
      <c r="M215" s="173"/>
      <c r="N215" s="27"/>
    </row>
    <row r="216" spans="1:14" x14ac:dyDescent="0.3">
      <c r="A216" s="20"/>
      <c r="B216" s="20"/>
      <c r="C216" s="24"/>
      <c r="D216" s="20"/>
      <c r="E216" s="23"/>
      <c r="F216" s="164"/>
      <c r="G216" s="170"/>
      <c r="H216" s="171"/>
      <c r="I216" s="173"/>
      <c r="J216" s="172"/>
      <c r="K216" s="173"/>
      <c r="L216" s="172"/>
      <c r="M216" s="173"/>
      <c r="N216" s="27"/>
    </row>
    <row r="217" spans="1:14" x14ac:dyDescent="0.3">
      <c r="A217" s="20"/>
      <c r="B217" s="20"/>
      <c r="C217" s="24"/>
      <c r="D217" s="20"/>
      <c r="E217" s="23"/>
      <c r="F217" s="164"/>
      <c r="G217" s="170"/>
      <c r="H217" s="171"/>
      <c r="I217" s="173"/>
      <c r="J217" s="172"/>
      <c r="K217" s="173"/>
      <c r="L217" s="172"/>
      <c r="M217" s="173"/>
      <c r="N217" s="27"/>
    </row>
    <row r="218" spans="1:14" x14ac:dyDescent="0.3">
      <c r="A218" s="20"/>
      <c r="B218" s="20"/>
      <c r="C218" s="24"/>
      <c r="D218" s="20"/>
      <c r="E218" s="23"/>
      <c r="F218" s="164"/>
      <c r="G218" s="170"/>
      <c r="H218" s="171"/>
      <c r="I218" s="173"/>
      <c r="J218" s="172"/>
      <c r="K218" s="173"/>
      <c r="L218" s="172"/>
      <c r="M218" s="173"/>
      <c r="N218" s="27"/>
    </row>
    <row r="219" spans="1:14" x14ac:dyDescent="0.3">
      <c r="A219" s="20"/>
      <c r="B219" s="20"/>
      <c r="C219" s="24"/>
      <c r="D219" s="20"/>
      <c r="E219" s="23"/>
      <c r="F219" s="164"/>
      <c r="G219" s="170"/>
      <c r="H219" s="171"/>
      <c r="I219" s="173"/>
      <c r="J219" s="172"/>
      <c r="K219" s="173"/>
      <c r="L219" s="172"/>
      <c r="M219" s="173"/>
      <c r="N219" s="27"/>
    </row>
    <row r="220" spans="1:14" x14ac:dyDescent="0.3">
      <c r="A220" s="20"/>
      <c r="B220" s="20"/>
      <c r="C220" s="24"/>
      <c r="D220" s="20"/>
      <c r="E220" s="23"/>
      <c r="F220" s="164"/>
      <c r="G220" s="170"/>
      <c r="H220" s="171"/>
      <c r="I220" s="173"/>
      <c r="J220" s="172"/>
      <c r="K220" s="173"/>
      <c r="L220" s="172"/>
      <c r="M220" s="173"/>
      <c r="N220" s="27"/>
    </row>
    <row r="221" spans="1:14" x14ac:dyDescent="0.3">
      <c r="A221" s="20"/>
      <c r="B221" s="20"/>
      <c r="C221" s="24"/>
      <c r="D221" s="20"/>
      <c r="E221" s="23"/>
      <c r="F221" s="164"/>
      <c r="G221" s="170"/>
      <c r="H221" s="171"/>
      <c r="I221" s="173"/>
      <c r="J221" s="172"/>
      <c r="K221" s="173"/>
      <c r="L221" s="172"/>
      <c r="M221" s="173"/>
      <c r="N221" s="27"/>
    </row>
    <row r="222" spans="1:14" x14ac:dyDescent="0.3">
      <c r="A222" s="20"/>
      <c r="B222" s="20"/>
      <c r="C222" s="24"/>
      <c r="D222" s="20"/>
      <c r="E222" s="23"/>
      <c r="F222" s="164"/>
      <c r="G222" s="170"/>
      <c r="H222" s="171"/>
      <c r="I222" s="173"/>
      <c r="J222" s="172"/>
      <c r="K222" s="173"/>
      <c r="L222" s="172"/>
      <c r="M222" s="173"/>
      <c r="N222" s="27"/>
    </row>
    <row r="223" spans="1:14" x14ac:dyDescent="0.3">
      <c r="A223" s="20"/>
      <c r="B223" s="20"/>
      <c r="C223" s="24"/>
      <c r="D223" s="20"/>
      <c r="E223" s="23"/>
      <c r="F223" s="164"/>
      <c r="G223" s="170"/>
      <c r="H223" s="171"/>
      <c r="I223" s="173"/>
      <c r="J223" s="172"/>
      <c r="K223" s="173"/>
      <c r="L223" s="172"/>
      <c r="M223" s="173"/>
      <c r="N223" s="27"/>
    </row>
    <row r="224" spans="1:14" x14ac:dyDescent="0.3">
      <c r="A224" s="20"/>
      <c r="B224" s="20"/>
      <c r="C224" s="24"/>
      <c r="D224" s="20"/>
      <c r="E224" s="23"/>
      <c r="F224" s="164"/>
      <c r="G224" s="170"/>
      <c r="H224" s="171"/>
      <c r="I224" s="173"/>
      <c r="J224" s="172"/>
      <c r="K224" s="173"/>
      <c r="L224" s="172"/>
      <c r="M224" s="173"/>
      <c r="N224" s="27"/>
    </row>
    <row r="225" spans="1:14" x14ac:dyDescent="0.3">
      <c r="A225" s="20"/>
      <c r="B225" s="20"/>
      <c r="C225" s="24"/>
      <c r="D225" s="20"/>
      <c r="E225" s="23"/>
      <c r="F225" s="164"/>
      <c r="G225" s="170"/>
      <c r="H225" s="171"/>
      <c r="I225" s="173"/>
      <c r="J225" s="172"/>
      <c r="K225" s="173"/>
      <c r="L225" s="172"/>
      <c r="M225" s="173"/>
      <c r="N225" s="27"/>
    </row>
    <row r="226" spans="1:14" x14ac:dyDescent="0.3">
      <c r="A226" s="20"/>
      <c r="B226" s="20"/>
      <c r="C226" s="24"/>
      <c r="D226" s="20"/>
      <c r="E226" s="23"/>
      <c r="F226" s="164"/>
      <c r="G226" s="170"/>
      <c r="H226" s="171"/>
      <c r="I226" s="173"/>
      <c r="J226" s="172"/>
      <c r="K226" s="173"/>
      <c r="L226" s="172"/>
      <c r="M226" s="173"/>
      <c r="N226" s="27"/>
    </row>
    <row r="227" spans="1:14" x14ac:dyDescent="0.3">
      <c r="A227" s="20"/>
      <c r="B227" s="20"/>
      <c r="C227" s="24"/>
      <c r="D227" s="20"/>
      <c r="E227" s="23"/>
      <c r="F227" s="164"/>
      <c r="G227" s="170"/>
      <c r="H227" s="171"/>
      <c r="I227" s="173"/>
      <c r="J227" s="172"/>
      <c r="K227" s="173"/>
      <c r="L227" s="172"/>
      <c r="M227" s="173"/>
      <c r="N227" s="27"/>
    </row>
    <row r="228" spans="1:14" ht="14.4" thickBot="1" x14ac:dyDescent="0.35">
      <c r="A228" s="20"/>
      <c r="B228" s="20"/>
      <c r="C228" s="24"/>
      <c r="D228" s="20"/>
      <c r="E228" s="23"/>
      <c r="F228" s="164"/>
      <c r="G228" s="196"/>
      <c r="H228" s="195"/>
      <c r="I228" s="193"/>
      <c r="J228" s="194"/>
      <c r="K228" s="193"/>
      <c r="L228" s="194"/>
      <c r="M228" s="193"/>
      <c r="N228" s="27"/>
    </row>
  </sheetData>
  <mergeCells count="8">
    <mergeCell ref="A1:N1"/>
    <mergeCell ref="S3:W3"/>
    <mergeCell ref="G4:H4"/>
    <mergeCell ref="J4:K4"/>
    <mergeCell ref="D2:E2"/>
    <mergeCell ref="D3:E3"/>
    <mergeCell ref="G2:N2"/>
    <mergeCell ref="L4:M4"/>
  </mergeCells>
  <conditionalFormatting sqref="N6">
    <cfRule type="expression" dxfId="3" priority="5">
      <formula>#REF!="New"</formula>
    </cfRule>
  </conditionalFormatting>
  <conditionalFormatting sqref="N8">
    <cfRule type="expression" dxfId="2" priority="4">
      <formula>#REF!="New"</formula>
    </cfRule>
  </conditionalFormatting>
  <conditionalFormatting sqref="N23">
    <cfRule type="expression" dxfId="1" priority="3">
      <formula>#REF!="New"</formula>
    </cfRule>
  </conditionalFormatting>
  <conditionalFormatting sqref="N24:N25">
    <cfRule type="expression" dxfId="0" priority="1">
      <formula>#REF!="New"</formula>
    </cfRule>
  </conditionalFormatting>
  <dataValidations count="2">
    <dataValidation type="list" allowBlank="1" showInputMessage="1" showErrorMessage="1" sqref="F6:F57" xr:uid="{00000000-0002-0000-0600-000000000000}">
      <formula1>$AD$2:$AD$3</formula1>
    </dataValidation>
    <dataValidation type="list" allowBlank="1" showInputMessage="1" showErrorMessage="1" sqref="A1:A1048576" xr:uid="{00000000-0002-0000-0600-000001000000}">
      <formula1>"Jan, Feb, Mar, Apr, May, Jun, Jul, Aug, Sep, Oct, Nov, Dec"</formula1>
    </dataValidation>
  </dataValidations>
  <pageMargins left="0.25" right="0.25" top="0.75" bottom="0.75" header="0.3" footer="0.3"/>
  <pageSetup paperSize="5"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'C:\Users\jenniferhappe\AppData\Local\Microsoft\Windows\INetCache\Content.Outlook\1FCJGYIM\[FINAL_Surveillance_Reporting_Form_IPAC Canada definitions_FINAL locked Sep 2020.xlsx]Sheet39'!#REF!</xm:f>
          </x14:formula1>
          <xm:sqref>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6DEED"/>
  </sheetPr>
  <dimension ref="A1:AD63"/>
  <sheetViews>
    <sheetView showGridLines="0" workbookViewId="0">
      <selection sqref="A1:AB2"/>
    </sheetView>
  </sheetViews>
  <sheetFormatPr defaultColWidth="9.109375" defaultRowHeight="14.4" x14ac:dyDescent="0.3"/>
  <cols>
    <col min="1" max="1" width="2.6640625" customWidth="1"/>
    <col min="2" max="2" width="11.6640625" bestFit="1" customWidth="1"/>
    <col min="3" max="12" width="9.88671875" customWidth="1"/>
    <col min="13" max="13" width="13.6640625" customWidth="1"/>
    <col min="14" max="14" width="11" customWidth="1"/>
    <col min="15" max="15" width="10.6640625" bestFit="1" customWidth="1"/>
    <col min="16" max="16" width="13" customWidth="1"/>
    <col min="17" max="26" width="9.88671875" customWidth="1"/>
  </cols>
  <sheetData>
    <row r="1" spans="1:28" x14ac:dyDescent="0.3">
      <c r="A1" s="306" t="s">
        <v>140</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8"/>
    </row>
    <row r="2" spans="1:28" ht="15" thickBot="1" x14ac:dyDescent="0.35">
      <c r="A2" s="309"/>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1"/>
    </row>
    <row r="3" spans="1:28" ht="15" thickBot="1" x14ac:dyDescent="0.35">
      <c r="A3" s="31"/>
      <c r="B3" s="32"/>
      <c r="C3" s="32"/>
      <c r="D3" s="32"/>
      <c r="E3" s="32"/>
      <c r="F3" s="32"/>
      <c r="G3" s="32"/>
      <c r="H3" s="32"/>
      <c r="I3" s="32"/>
      <c r="J3" s="32"/>
      <c r="K3" s="32"/>
      <c r="L3" s="32"/>
      <c r="M3" s="32"/>
      <c r="N3" s="32"/>
      <c r="O3" s="32"/>
      <c r="P3" s="32"/>
      <c r="Q3" s="32"/>
      <c r="R3" s="32"/>
      <c r="S3" s="32"/>
      <c r="T3" s="32"/>
      <c r="U3" s="32"/>
      <c r="V3" s="33"/>
    </row>
    <row r="4" spans="1:28" ht="15" thickBot="1" x14ac:dyDescent="0.35">
      <c r="A4" s="31"/>
      <c r="B4" s="32"/>
      <c r="C4" s="318" t="s">
        <v>220</v>
      </c>
      <c r="D4" s="319"/>
      <c r="E4" s="319"/>
      <c r="F4" s="319"/>
      <c r="G4" s="319"/>
      <c r="H4" s="319"/>
      <c r="I4" s="319"/>
      <c r="J4" s="320"/>
      <c r="K4" s="32"/>
      <c r="L4" s="13"/>
      <c r="M4" s="13"/>
      <c r="N4" s="318" t="s">
        <v>221</v>
      </c>
      <c r="O4" s="319"/>
      <c r="P4" s="319"/>
      <c r="Q4" s="319"/>
      <c r="R4" s="319"/>
      <c r="S4" s="319"/>
      <c r="T4" s="319"/>
      <c r="U4" s="320"/>
      <c r="V4" s="33"/>
    </row>
    <row r="5" spans="1:28" ht="15" thickBot="1" x14ac:dyDescent="0.35">
      <c r="A5" s="31"/>
      <c r="B5" s="1"/>
      <c r="C5" s="312" t="s">
        <v>79</v>
      </c>
      <c r="D5" s="313"/>
      <c r="E5" s="198" t="s">
        <v>304</v>
      </c>
      <c r="F5" s="314" t="s">
        <v>82</v>
      </c>
      <c r="G5" s="314"/>
      <c r="H5" s="321" t="s">
        <v>81</v>
      </c>
      <c r="I5" s="322"/>
      <c r="J5" s="315" t="s">
        <v>67</v>
      </c>
      <c r="K5" s="32"/>
      <c r="L5" s="40"/>
      <c r="M5" s="40"/>
      <c r="N5" s="317" t="s">
        <v>79</v>
      </c>
      <c r="O5" s="317"/>
      <c r="P5" s="198" t="s">
        <v>304</v>
      </c>
      <c r="Q5" s="314" t="s">
        <v>82</v>
      </c>
      <c r="R5" s="314"/>
      <c r="S5" s="321" t="s">
        <v>81</v>
      </c>
      <c r="T5" s="322"/>
      <c r="U5" s="315" t="s">
        <v>85</v>
      </c>
      <c r="V5" s="33"/>
    </row>
    <row r="6" spans="1:28" ht="15" thickBot="1" x14ac:dyDescent="0.35">
      <c r="A6" s="31"/>
      <c r="B6" s="52" t="s">
        <v>1</v>
      </c>
      <c r="C6" s="52" t="s">
        <v>87</v>
      </c>
      <c r="D6" s="52" t="s">
        <v>86</v>
      </c>
      <c r="E6" s="52" t="s">
        <v>86</v>
      </c>
      <c r="F6" s="52" t="s">
        <v>87</v>
      </c>
      <c r="G6" s="52" t="s">
        <v>86</v>
      </c>
      <c r="H6" s="52" t="s">
        <v>87</v>
      </c>
      <c r="I6" s="52" t="s">
        <v>86</v>
      </c>
      <c r="J6" s="316"/>
      <c r="K6" s="32"/>
      <c r="L6" s="52" t="s">
        <v>1</v>
      </c>
      <c r="M6" s="52" t="s">
        <v>74</v>
      </c>
      <c r="N6" s="199" t="s">
        <v>87</v>
      </c>
      <c r="O6" s="199" t="s">
        <v>86</v>
      </c>
      <c r="P6" s="199" t="s">
        <v>86</v>
      </c>
      <c r="Q6" s="199" t="s">
        <v>87</v>
      </c>
      <c r="R6" s="199" t="s">
        <v>86</v>
      </c>
      <c r="S6" s="52" t="s">
        <v>87</v>
      </c>
      <c r="T6" s="52" t="s">
        <v>86</v>
      </c>
      <c r="U6" s="316"/>
      <c r="V6" s="33"/>
    </row>
    <row r="7" spans="1:28" ht="15" thickBot="1" x14ac:dyDescent="0.35">
      <c r="A7" s="31"/>
      <c r="B7" s="52" t="s">
        <v>115</v>
      </c>
      <c r="C7" s="35">
        <f>COUNTIFS(Table1[Was the colonization/infection an HAI? (Y/N)], "Yes", Table1[Month],"Jan", Table1[MRSA Colonized], "X")</f>
        <v>0</v>
      </c>
      <c r="D7" s="35">
        <f>COUNTIFS(Table1[Was the colonization/infection an HAI? (Y/N)], "Yes",Table1[Month],"Jan", Table1[MRSA Infected], "X")</f>
        <v>0</v>
      </c>
      <c r="E7" s="35">
        <f>COUNTIFS(Table1[Was the colonization/infection an HAI? (Y/N)], "Yes",Table1[Month],"Jan", Table1[VRE BSIs], "X")</f>
        <v>0</v>
      </c>
      <c r="F7" s="35">
        <f>COUNTIFS(Table1[Was the colonization/infection an HAI? (Y/N)], "Yes",Table1[Month],"Jan", Table1[CPE Colonized], "X")</f>
        <v>0</v>
      </c>
      <c r="G7" s="71">
        <f>COUNTIFS(Table1[Was the colonization/infection an HAI? (Y/N)], "Yes",Table1[Month],"Jan", Table1[CPE Infected], "X")</f>
        <v>0</v>
      </c>
      <c r="H7" s="208">
        <f>COUNTIFS(Table1[Was the colonization/infection an HAI? (Y/N)], "Yes", Table1[Month],"Jan", Table1[ESBL Colonized], "X")</f>
        <v>0</v>
      </c>
      <c r="I7" s="208">
        <f>COUNTIFS(Table1[Was the colonization/infection an HAI? (Y/N)], "Yes",Table1[Month],"Jan", Table1[ESBL Infected], "X")</f>
        <v>0</v>
      </c>
      <c r="J7" s="52">
        <f>SUM(C7:I7)</f>
        <v>0</v>
      </c>
      <c r="K7" s="32"/>
      <c r="L7" s="52" t="s">
        <v>115</v>
      </c>
      <c r="M7" s="34">
        <f>'Total Inf'!P5</f>
        <v>0</v>
      </c>
      <c r="N7" s="66" t="str">
        <f t="shared" ref="N7:N18" si="0">IF(C7,(C7/M7)*1000, "--")</f>
        <v>--</v>
      </c>
      <c r="O7" s="66" t="str">
        <f t="shared" ref="O7:O18" si="1">IF(D7,(D7/M7)*1000, "--")</f>
        <v>--</v>
      </c>
      <c r="P7" s="66" t="str">
        <f t="shared" ref="P7:P18" si="2">IF(E7, (E7/M7)*1000, "--")</f>
        <v>--</v>
      </c>
      <c r="Q7" s="66" t="str">
        <f t="shared" ref="Q7:Q18" si="3">IF(F7,(F7/M7)*1000,"--")</f>
        <v>--</v>
      </c>
      <c r="R7" s="66" t="str">
        <f t="shared" ref="R7:R18" si="4">IF(G7,(G7/M7)*1000,"--")</f>
        <v>--</v>
      </c>
      <c r="S7" s="209" t="str">
        <f t="shared" ref="S7:S18" si="5">IF(H7,(H7/M7)*1000, "--")</f>
        <v>--</v>
      </c>
      <c r="T7" s="209" t="str">
        <f t="shared" ref="T7:T18" si="6">IF(I7,(I7/M7)*1000, "--")</f>
        <v>--</v>
      </c>
      <c r="U7" s="70" t="e">
        <f>AVERAGE(N7:T7)</f>
        <v>#DIV/0!</v>
      </c>
      <c r="V7" s="33"/>
    </row>
    <row r="8" spans="1:28" ht="15" thickBot="1" x14ac:dyDescent="0.35">
      <c r="A8" s="31"/>
      <c r="B8" s="52" t="s">
        <v>110</v>
      </c>
      <c r="C8" s="35">
        <f>COUNTIFS(Table1[Was the colonization/infection an HAI? (Y/N)], "Yes",Table1[Month],"Feb", Table1[MRSA Colonized], "X")</f>
        <v>0</v>
      </c>
      <c r="D8" s="35">
        <f>COUNTIFS(Table1[Was the colonization/infection an HAI? (Y/N)], "Yes",Table1[Month],"Feb", Table1[MRSA Infected], "X")</f>
        <v>0</v>
      </c>
      <c r="E8" s="35">
        <f>COUNTIFS(Table1[Was the colonization/infection an HAI? (Y/N)], "Yes",Table1[Month],"Feb", Table1[VRE BSIs], "X")</f>
        <v>0</v>
      </c>
      <c r="F8" s="35">
        <f>COUNTIFS(Table1[Was the colonization/infection an HAI? (Y/N)], "Yes",Table1[Month],"Feb", Table1[CPE Colonized], "X")</f>
        <v>0</v>
      </c>
      <c r="G8" s="71">
        <f>COUNTIFS(Table1[Was the colonization/infection an HAI? (Y/N)], "Yes",Table1[Month],"Feb", Table1[CPE Infected], "X")</f>
        <v>0</v>
      </c>
      <c r="H8" s="208">
        <f>COUNTIFS(Table1[Was the colonization/infection an HAI? (Y/N)], "Yes", Table1[Month],"Feb", Table1[ESBL Colonized], "X")</f>
        <v>0</v>
      </c>
      <c r="I8" s="208">
        <f>COUNTIFS(Table1[Was the colonization/infection an HAI? (Y/N)], "Yes",Table1[Month],"Feb", Table1[ESBL Infected], "X")</f>
        <v>0</v>
      </c>
      <c r="J8" s="52">
        <f t="shared" ref="J8:J18" si="7">SUM(C8:I8)</f>
        <v>0</v>
      </c>
      <c r="K8" s="32"/>
      <c r="L8" s="52" t="s">
        <v>110</v>
      </c>
      <c r="M8" s="34">
        <f>'Total Inf'!P6</f>
        <v>0</v>
      </c>
      <c r="N8" s="66" t="str">
        <f t="shared" si="0"/>
        <v>--</v>
      </c>
      <c r="O8" s="66" t="str">
        <f t="shared" si="1"/>
        <v>--</v>
      </c>
      <c r="P8" s="66" t="str">
        <f t="shared" si="2"/>
        <v>--</v>
      </c>
      <c r="Q8" s="66" t="str">
        <f t="shared" si="3"/>
        <v>--</v>
      </c>
      <c r="R8" s="66" t="str">
        <f t="shared" si="4"/>
        <v>--</v>
      </c>
      <c r="S8" s="209" t="str">
        <f t="shared" si="5"/>
        <v>--</v>
      </c>
      <c r="T8" s="209" t="str">
        <f t="shared" si="6"/>
        <v>--</v>
      </c>
      <c r="U8" s="70" t="e">
        <f t="shared" ref="U8:U18" si="8">AVERAGE(N8:T8)</f>
        <v>#DIV/0!</v>
      </c>
      <c r="V8" s="33"/>
    </row>
    <row r="9" spans="1:28" ht="15" thickBot="1" x14ac:dyDescent="0.35">
      <c r="A9" s="31"/>
      <c r="B9" s="52" t="s">
        <v>111</v>
      </c>
      <c r="C9" s="35">
        <f>COUNTIFS(Table1[Was the colonization/infection an HAI? (Y/N)], "Yes",Table1[Month],"Mar", Table1[MRSA Colonized], "X")</f>
        <v>0</v>
      </c>
      <c r="D9" s="35">
        <f>COUNTIFS(Table1[Was the colonization/infection an HAI? (Y/N)], "Yes",Table1[Month],"Mar", Table1[MRSA Infected], "X")</f>
        <v>0</v>
      </c>
      <c r="E9" s="35">
        <f>COUNTIFS(Table1[Was the colonization/infection an HAI? (Y/N)], "Yes",Table1[Month],"Mar", Table1[VRE BSIs], "X")</f>
        <v>0</v>
      </c>
      <c r="F9" s="35">
        <f>COUNTIFS(Table1[Was the colonization/infection an HAI? (Y/N)], "Yes",Table1[Month],"Mar", Table1[CPE Colonized], "X")</f>
        <v>0</v>
      </c>
      <c r="G9" s="71">
        <f>COUNTIFS(Table1[Was the colonization/infection an HAI? (Y/N)], "Yes",Table1[Month],"Mar", Table1[CPE Infected], "X")</f>
        <v>0</v>
      </c>
      <c r="H9" s="208">
        <f>COUNTIFS(Table1[Was the colonization/infection an HAI? (Y/N)], "Yes", Table1[Month],"Mar", Table1[ESBL Colonized], "X")</f>
        <v>0</v>
      </c>
      <c r="I9" s="208">
        <f>COUNTIFS(Table1[Was the colonization/infection an HAI? (Y/N)], "Yes",Table1[Month],"Mar", Table1[ESBL Infected], "X")</f>
        <v>0</v>
      </c>
      <c r="J9" s="52">
        <f t="shared" si="7"/>
        <v>0</v>
      </c>
      <c r="K9" s="32"/>
      <c r="L9" s="52" t="s">
        <v>111</v>
      </c>
      <c r="M9" s="34">
        <f>'Total Inf'!P7</f>
        <v>0</v>
      </c>
      <c r="N9" s="66" t="str">
        <f t="shared" si="0"/>
        <v>--</v>
      </c>
      <c r="O9" s="66" t="str">
        <f t="shared" si="1"/>
        <v>--</v>
      </c>
      <c r="P9" s="66" t="str">
        <f t="shared" si="2"/>
        <v>--</v>
      </c>
      <c r="Q9" s="66" t="str">
        <f t="shared" si="3"/>
        <v>--</v>
      </c>
      <c r="R9" s="66" t="str">
        <f t="shared" si="4"/>
        <v>--</v>
      </c>
      <c r="S9" s="209" t="str">
        <f t="shared" si="5"/>
        <v>--</v>
      </c>
      <c r="T9" s="209" t="str">
        <f t="shared" si="6"/>
        <v>--</v>
      </c>
      <c r="U9" s="70" t="e">
        <f t="shared" si="8"/>
        <v>#DIV/0!</v>
      </c>
      <c r="V9" s="33"/>
    </row>
    <row r="10" spans="1:28" ht="15" thickBot="1" x14ac:dyDescent="0.35">
      <c r="A10" s="31"/>
      <c r="B10" s="52" t="s">
        <v>146</v>
      </c>
      <c r="C10" s="35">
        <f>COUNTIFS(Table1[Was the colonization/infection an HAI? (Y/N)], "Yes",Table1[Month],"Apr", Table1[MRSA Colonized], "X")</f>
        <v>0</v>
      </c>
      <c r="D10" s="35">
        <f>COUNTIFS(Table1[Was the colonization/infection an HAI? (Y/N)], "Yes",Table1[Month],"Apr", Table1[MRSA Infected], "X")</f>
        <v>0</v>
      </c>
      <c r="E10" s="35">
        <f>COUNTIFS(Table1[Was the colonization/infection an HAI? (Y/N)], "Yes",Table1[Month],"Apr", Table1[VRE BSIs], "X")</f>
        <v>0</v>
      </c>
      <c r="F10" s="35">
        <f>COUNTIFS(Table1[Was the colonization/infection an HAI? (Y/N)], "Yes",Table1[Month],"Apr", Table1[CPE Colonized], "X")</f>
        <v>0</v>
      </c>
      <c r="G10" s="71">
        <f>COUNTIFS(Table1[Was the colonization/infection an HAI? (Y/N)], "Yes",Table1[Month],"Apr", Table1[CPE Infected], "X")</f>
        <v>0</v>
      </c>
      <c r="H10" s="208">
        <f>COUNTIFS(Table1[Was the colonization/infection an HAI? (Y/N)], "Yes", Table1[Month],"Apr", Table1[ESBL Colonized], "X")</f>
        <v>0</v>
      </c>
      <c r="I10" s="208">
        <f>COUNTIFS(Table1[Was the colonization/infection an HAI? (Y/N)], "Yes",Table1[Month],"Apr", Table1[ESBL Infected], "X")</f>
        <v>0</v>
      </c>
      <c r="J10" s="52">
        <f t="shared" si="7"/>
        <v>0</v>
      </c>
      <c r="K10" s="32"/>
      <c r="L10" s="52" t="s">
        <v>146</v>
      </c>
      <c r="M10" s="34">
        <f>'Total Inf'!P8</f>
        <v>0</v>
      </c>
      <c r="N10" s="66" t="str">
        <f t="shared" si="0"/>
        <v>--</v>
      </c>
      <c r="O10" s="66" t="str">
        <f t="shared" si="1"/>
        <v>--</v>
      </c>
      <c r="P10" s="66" t="str">
        <f t="shared" si="2"/>
        <v>--</v>
      </c>
      <c r="Q10" s="66" t="str">
        <f t="shared" si="3"/>
        <v>--</v>
      </c>
      <c r="R10" s="66" t="str">
        <f t="shared" si="4"/>
        <v>--</v>
      </c>
      <c r="S10" s="209" t="str">
        <f t="shared" si="5"/>
        <v>--</v>
      </c>
      <c r="T10" s="209" t="str">
        <f t="shared" si="6"/>
        <v>--</v>
      </c>
      <c r="U10" s="70" t="e">
        <f t="shared" si="8"/>
        <v>#DIV/0!</v>
      </c>
      <c r="V10" s="33"/>
    </row>
    <row r="11" spans="1:28" ht="15" thickBot="1" x14ac:dyDescent="0.35">
      <c r="A11" s="31"/>
      <c r="B11" s="52" t="s">
        <v>35</v>
      </c>
      <c r="C11" s="35">
        <f>COUNTIFS(Table1[Was the colonization/infection an HAI? (Y/N)], "Yes",Table1[Month],"May", Table1[MRSA Colonized], "X")</f>
        <v>0</v>
      </c>
      <c r="D11" s="35">
        <f>COUNTIFS(Table1[Was the colonization/infection an HAI? (Y/N)], "Yes",Table1[Month],"May", Table1[MRSA Infected], "X")</f>
        <v>0</v>
      </c>
      <c r="E11" s="35">
        <f>COUNTIFS(Table1[Was the colonization/infection an HAI? (Y/N)], "Yes",Table1[Month],"May", Table1[VRE BSIs], "X")</f>
        <v>0</v>
      </c>
      <c r="F11" s="35">
        <f>COUNTIFS(Table1[Was the colonization/infection an HAI? (Y/N)], "Yes",Table1[Month],"May", Table1[CPE Colonized], "X")</f>
        <v>0</v>
      </c>
      <c r="G11" s="71">
        <f>COUNTIFS(Table1[Was the colonization/infection an HAI? (Y/N)], "Yes",Table1[Month],"May", Table1[CPE Infected], "X")</f>
        <v>0</v>
      </c>
      <c r="H11" s="208">
        <f>COUNTIFS(Table1[Was the colonization/infection an HAI? (Y/N)], "Yes", Table1[Month],"May", Table1[ESBL Colonized], "X")</f>
        <v>0</v>
      </c>
      <c r="I11" s="208">
        <f>COUNTIFS(Table1[Was the colonization/infection an HAI? (Y/N)], "Yes",Table1[Month],"May", Table1[ESBL Infected], "X")</f>
        <v>0</v>
      </c>
      <c r="J11" s="52">
        <f t="shared" si="7"/>
        <v>0</v>
      </c>
      <c r="K11" s="32"/>
      <c r="L11" s="52" t="s">
        <v>35</v>
      </c>
      <c r="M11" s="34">
        <f>'Total Inf'!P9</f>
        <v>0</v>
      </c>
      <c r="N11" s="66" t="str">
        <f t="shared" si="0"/>
        <v>--</v>
      </c>
      <c r="O11" s="66" t="str">
        <f t="shared" si="1"/>
        <v>--</v>
      </c>
      <c r="P11" s="66" t="str">
        <f t="shared" si="2"/>
        <v>--</v>
      </c>
      <c r="Q11" s="66" t="str">
        <f t="shared" si="3"/>
        <v>--</v>
      </c>
      <c r="R11" s="66" t="str">
        <f t="shared" si="4"/>
        <v>--</v>
      </c>
      <c r="S11" s="209" t="str">
        <f t="shared" si="5"/>
        <v>--</v>
      </c>
      <c r="T11" s="209" t="str">
        <f t="shared" si="6"/>
        <v>--</v>
      </c>
      <c r="U11" s="70" t="e">
        <f t="shared" si="8"/>
        <v>#DIV/0!</v>
      </c>
      <c r="V11" s="33"/>
    </row>
    <row r="12" spans="1:28" ht="15" thickBot="1" x14ac:dyDescent="0.35">
      <c r="A12" s="31"/>
      <c r="B12" s="52" t="s">
        <v>112</v>
      </c>
      <c r="C12" s="35">
        <f>COUNTIFS(Table1[Was the colonization/infection an HAI? (Y/N)], "Yes",Table1[Month],"Jun", Table1[MRSA Colonized], "X")</f>
        <v>0</v>
      </c>
      <c r="D12" s="35">
        <f>COUNTIFS(Table1[Was the colonization/infection an HAI? (Y/N)], "Yes",Table1[Month],"Jun", Table1[MRSA Infected], "X")</f>
        <v>0</v>
      </c>
      <c r="E12" s="35">
        <f>COUNTIFS(Table1[Was the colonization/infection an HAI? (Y/N)], "Yes",Table1[Month],"Jun", Table1[VRE BSIs], "X")</f>
        <v>0</v>
      </c>
      <c r="F12" s="35">
        <f>COUNTIFS(Table1[Was the colonization/infection an HAI? (Y/N)], "Yes",Table1[Month],"Jun", Table1[CPE Colonized], "X")</f>
        <v>0</v>
      </c>
      <c r="G12" s="71">
        <f>COUNTIFS(Table1[Was the colonization/infection an HAI? (Y/N)], "Yes",Table1[Month],"Jun", Table1[CPE Infected], "X")</f>
        <v>0</v>
      </c>
      <c r="H12" s="208">
        <f>COUNTIFS(Table1[Was the colonization/infection an HAI? (Y/N)], "Yes", Table1[Month],"Jun", Table1[ESBL Colonized], "X")</f>
        <v>0</v>
      </c>
      <c r="I12" s="208">
        <f>COUNTIFS(Table1[Was the colonization/infection an HAI? (Y/N)], "Yes",Table1[Month],"Jun", Table1[ESBL Infected], "X")</f>
        <v>0</v>
      </c>
      <c r="J12" s="52">
        <f t="shared" si="7"/>
        <v>0</v>
      </c>
      <c r="K12" s="32"/>
      <c r="L12" s="52" t="s">
        <v>112</v>
      </c>
      <c r="M12" s="34">
        <f>'Total Inf'!P10</f>
        <v>0</v>
      </c>
      <c r="N12" s="66" t="str">
        <f t="shared" si="0"/>
        <v>--</v>
      </c>
      <c r="O12" s="66" t="str">
        <f t="shared" si="1"/>
        <v>--</v>
      </c>
      <c r="P12" s="66" t="str">
        <f t="shared" si="2"/>
        <v>--</v>
      </c>
      <c r="Q12" s="66" t="str">
        <f t="shared" si="3"/>
        <v>--</v>
      </c>
      <c r="R12" s="66" t="str">
        <f t="shared" si="4"/>
        <v>--</v>
      </c>
      <c r="S12" s="209" t="str">
        <f t="shared" si="5"/>
        <v>--</v>
      </c>
      <c r="T12" s="209" t="str">
        <f t="shared" si="6"/>
        <v>--</v>
      </c>
      <c r="U12" s="70" t="e">
        <f t="shared" si="8"/>
        <v>#DIV/0!</v>
      </c>
      <c r="V12" s="33"/>
    </row>
    <row r="13" spans="1:28" ht="15" thickBot="1" x14ac:dyDescent="0.35">
      <c r="A13" s="31"/>
      <c r="B13" s="52" t="s">
        <v>144</v>
      </c>
      <c r="C13" s="35">
        <f>COUNTIFS(Table1[Was the colonization/infection an HAI? (Y/N)], "Yes",Table1[Month],"Jul", Table1[MRSA Colonized], "X")</f>
        <v>0</v>
      </c>
      <c r="D13" s="35">
        <f>COUNTIFS(Table1[Was the colonization/infection an HAI? (Y/N)], "Yes",Table1[Month],"Jul", Table1[MRSA Infected], "X")</f>
        <v>0</v>
      </c>
      <c r="E13" s="35">
        <f>COUNTIFS(Table1[Was the colonization/infection an HAI? (Y/N)], "Yes",Table1[Month],"Jul", Table1[VRE BSIs], "X")</f>
        <v>0</v>
      </c>
      <c r="F13" s="35">
        <f>COUNTIFS(Table1[Was the colonization/infection an HAI? (Y/N)], "Yes",Table1[Month],"Jul", Table1[CPE Colonized], "X")</f>
        <v>0</v>
      </c>
      <c r="G13" s="71">
        <f>COUNTIFS(Table1[Was the colonization/infection an HAI? (Y/N)], "Yes",Table1[Month],"Jul", Table1[CPE Infected], "X")</f>
        <v>0</v>
      </c>
      <c r="H13" s="208">
        <f>COUNTIFS(Table1[Was the colonization/infection an HAI? (Y/N)], "Yes", Table1[Month],"Jul", Table1[ESBL Colonized], "X")</f>
        <v>0</v>
      </c>
      <c r="I13" s="208">
        <f>COUNTIFS(Table1[Was the colonization/infection an HAI? (Y/N)], "Yes",Table1[Month],"Jul", Table1[ESBL Infected], "X")</f>
        <v>0</v>
      </c>
      <c r="J13" s="52">
        <f t="shared" si="7"/>
        <v>0</v>
      </c>
      <c r="K13" s="32"/>
      <c r="L13" s="52" t="s">
        <v>144</v>
      </c>
      <c r="M13" s="34">
        <f>'Total Inf'!P11</f>
        <v>0</v>
      </c>
      <c r="N13" s="66" t="str">
        <f t="shared" si="0"/>
        <v>--</v>
      </c>
      <c r="O13" s="66" t="str">
        <f t="shared" si="1"/>
        <v>--</v>
      </c>
      <c r="P13" s="66" t="str">
        <f t="shared" si="2"/>
        <v>--</v>
      </c>
      <c r="Q13" s="66" t="str">
        <f t="shared" si="3"/>
        <v>--</v>
      </c>
      <c r="R13" s="66" t="str">
        <f t="shared" si="4"/>
        <v>--</v>
      </c>
      <c r="S13" s="209" t="str">
        <f t="shared" si="5"/>
        <v>--</v>
      </c>
      <c r="T13" s="209" t="str">
        <f t="shared" si="6"/>
        <v>--</v>
      </c>
      <c r="U13" s="70" t="e">
        <f t="shared" si="8"/>
        <v>#DIV/0!</v>
      </c>
      <c r="V13" s="33"/>
    </row>
    <row r="14" spans="1:28" ht="15" thickBot="1" x14ac:dyDescent="0.35">
      <c r="A14" s="31"/>
      <c r="B14" s="52" t="s">
        <v>113</v>
      </c>
      <c r="C14" s="35">
        <f>COUNTIFS(Table1[Was the colonization/infection an HAI? (Y/N)], "Yes",Table1[Month],"Aug", Table1[MRSA Colonized], "X")</f>
        <v>0</v>
      </c>
      <c r="D14" s="35">
        <f>COUNTIFS(Table1[Was the colonization/infection an HAI? (Y/N)], "Yes",Table1[Month],"Aug", Table1[MRSA Infected], "X")</f>
        <v>0</v>
      </c>
      <c r="E14" s="35">
        <f>COUNTIFS(Table1[Was the colonization/infection an HAI? (Y/N)], "Yes",Table1[Month],"Aug", Table1[VRE BSIs], "X")</f>
        <v>0</v>
      </c>
      <c r="F14" s="35">
        <f>COUNTIFS(Table1[Was the colonization/infection an HAI? (Y/N)], "Yes",Table1[Month],"Aug", Table1[CPE Colonized], "X")</f>
        <v>0</v>
      </c>
      <c r="G14" s="71">
        <f>COUNTIFS(Table1[Was the colonization/infection an HAI? (Y/N)], "Yes",Table1[Month],"Aug", Table1[CPE Infected], "X")</f>
        <v>0</v>
      </c>
      <c r="H14" s="208">
        <f>COUNTIFS(Table1[Was the colonization/infection an HAI? (Y/N)], "Yes", Table1[Month],"Aug", Table1[ESBL Colonized], "X")</f>
        <v>0</v>
      </c>
      <c r="I14" s="208">
        <f>COUNTIFS(Table1[Was the colonization/infection an HAI? (Y/N)], "Yes",Table1[Month],"Aug", Table1[ESBL Infected], "X")</f>
        <v>0</v>
      </c>
      <c r="J14" s="52">
        <f t="shared" si="7"/>
        <v>0</v>
      </c>
      <c r="K14" s="32"/>
      <c r="L14" s="52" t="s">
        <v>113</v>
      </c>
      <c r="M14" s="34">
        <f>'Total Inf'!P12</f>
        <v>0</v>
      </c>
      <c r="N14" s="66" t="str">
        <f t="shared" si="0"/>
        <v>--</v>
      </c>
      <c r="O14" s="66" t="str">
        <f t="shared" si="1"/>
        <v>--</v>
      </c>
      <c r="P14" s="66" t="str">
        <f t="shared" si="2"/>
        <v>--</v>
      </c>
      <c r="Q14" s="66" t="str">
        <f t="shared" si="3"/>
        <v>--</v>
      </c>
      <c r="R14" s="66" t="str">
        <f t="shared" si="4"/>
        <v>--</v>
      </c>
      <c r="S14" s="209" t="str">
        <f t="shared" si="5"/>
        <v>--</v>
      </c>
      <c r="T14" s="209" t="str">
        <f t="shared" si="6"/>
        <v>--</v>
      </c>
      <c r="U14" s="70" t="e">
        <f t="shared" si="8"/>
        <v>#DIV/0!</v>
      </c>
      <c r="V14" s="33"/>
    </row>
    <row r="15" spans="1:28" ht="15" thickBot="1" x14ac:dyDescent="0.35">
      <c r="A15" s="31"/>
      <c r="B15" s="52" t="s">
        <v>145</v>
      </c>
      <c r="C15" s="35">
        <f>COUNTIFS(Table1[Was the colonization/infection an HAI? (Y/N)], "Yes",Table1[Month],"Sep", Table1[MRSA Colonized], "X")</f>
        <v>0</v>
      </c>
      <c r="D15" s="35">
        <f>COUNTIFS(Table1[Was the colonization/infection an HAI? (Y/N)], "Yes",Table1[Month],"Sep", Table1[MRSA Infected], "X")</f>
        <v>0</v>
      </c>
      <c r="E15" s="35">
        <f>COUNTIFS(Table1[Was the colonization/infection an HAI? (Y/N)], "Yes",Table1[Month],"Sep", Table1[VRE BSIs], "X")</f>
        <v>0</v>
      </c>
      <c r="F15" s="35">
        <f>COUNTIFS(Table1[Was the colonization/infection an HAI? (Y/N)], "Yes",Table1[Month],"Sep", Table1[CPE Colonized], "X")</f>
        <v>0</v>
      </c>
      <c r="G15" s="71">
        <f>COUNTIFS(Table1[Was the colonization/infection an HAI? (Y/N)], "Yes",Table1[Month],"Sep", Table1[CPE Infected], "X")</f>
        <v>0</v>
      </c>
      <c r="H15" s="208">
        <f>COUNTIFS(Table1[Was the colonization/infection an HAI? (Y/N)], "Yes", Table1[Month],"Sep", Table1[ESBL Colonized], "X")</f>
        <v>0</v>
      </c>
      <c r="I15" s="208">
        <f>COUNTIFS(Table1[Was the colonization/infection an HAI? (Y/N)], "Yes",Table1[Month],"Sep", Table1[ESBL Infected], "X")</f>
        <v>0</v>
      </c>
      <c r="J15" s="52">
        <f t="shared" si="7"/>
        <v>0</v>
      </c>
      <c r="K15" s="32"/>
      <c r="L15" s="52" t="s">
        <v>145</v>
      </c>
      <c r="M15" s="34">
        <f>'Total Inf'!P13</f>
        <v>0</v>
      </c>
      <c r="N15" s="66" t="str">
        <f t="shared" si="0"/>
        <v>--</v>
      </c>
      <c r="O15" s="66" t="str">
        <f t="shared" si="1"/>
        <v>--</v>
      </c>
      <c r="P15" s="66" t="str">
        <f t="shared" si="2"/>
        <v>--</v>
      </c>
      <c r="Q15" s="66" t="str">
        <f t="shared" si="3"/>
        <v>--</v>
      </c>
      <c r="R15" s="66" t="str">
        <f t="shared" si="4"/>
        <v>--</v>
      </c>
      <c r="S15" s="209" t="str">
        <f t="shared" si="5"/>
        <v>--</v>
      </c>
      <c r="T15" s="209" t="str">
        <f t="shared" si="6"/>
        <v>--</v>
      </c>
      <c r="U15" s="70" t="e">
        <f t="shared" si="8"/>
        <v>#DIV/0!</v>
      </c>
      <c r="V15" s="33"/>
    </row>
    <row r="16" spans="1:28" ht="15" thickBot="1" x14ac:dyDescent="0.35">
      <c r="A16" s="31"/>
      <c r="B16" s="52" t="s">
        <v>116</v>
      </c>
      <c r="C16" s="35">
        <f>COUNTIFS(Table1[Was the colonization/infection an HAI? (Y/N)], "Yes",Table1[Month],"Oct", Table1[MRSA Colonized], "X")</f>
        <v>0</v>
      </c>
      <c r="D16" s="35">
        <f>COUNTIFS(Table1[Was the colonization/infection an HAI? (Y/N)], "Yes",Table1[Month],"Oct", Table1[MRSA Infected], "X")</f>
        <v>0</v>
      </c>
      <c r="E16" s="35">
        <f>COUNTIFS(Table1[Was the colonization/infection an HAI? (Y/N)], "Yes",Table1[Month],"Oct", Table1[VRE BSIs], "X")</f>
        <v>0</v>
      </c>
      <c r="F16" s="35">
        <f>COUNTIFS(Table1[Was the colonization/infection an HAI? (Y/N)], "Yes",Table1[Month],"Oct", Table1[CPE Colonized], "X")</f>
        <v>0</v>
      </c>
      <c r="G16" s="71">
        <f>COUNTIFS(Table1[Was the colonization/infection an HAI? (Y/N)], "Yes",Table1[Month],"Oct", Table1[CPE Infected], "X")</f>
        <v>0</v>
      </c>
      <c r="H16" s="208">
        <f>COUNTIFS(Table1[Was the colonization/infection an HAI? (Y/N)], "Yes", Table1[Month],"Oct", Table1[ESBL Colonized], "X")</f>
        <v>0</v>
      </c>
      <c r="I16" s="208">
        <f>COUNTIFS(Table1[Was the colonization/infection an HAI? (Y/N)], "Yes",Table1[Month],"Oct", Table1[ESBL Infected], "X")</f>
        <v>0</v>
      </c>
      <c r="J16" s="52">
        <f t="shared" si="7"/>
        <v>0</v>
      </c>
      <c r="K16" s="32"/>
      <c r="L16" s="52" t="s">
        <v>116</v>
      </c>
      <c r="M16" s="34">
        <f>'Total Inf'!P14</f>
        <v>0</v>
      </c>
      <c r="N16" s="66" t="str">
        <f t="shared" si="0"/>
        <v>--</v>
      </c>
      <c r="O16" s="66" t="str">
        <f t="shared" si="1"/>
        <v>--</v>
      </c>
      <c r="P16" s="66" t="str">
        <f t="shared" si="2"/>
        <v>--</v>
      </c>
      <c r="Q16" s="66" t="str">
        <f t="shared" si="3"/>
        <v>--</v>
      </c>
      <c r="R16" s="66" t="str">
        <f t="shared" si="4"/>
        <v>--</v>
      </c>
      <c r="S16" s="209" t="str">
        <f t="shared" si="5"/>
        <v>--</v>
      </c>
      <c r="T16" s="209" t="str">
        <f t="shared" si="6"/>
        <v>--</v>
      </c>
      <c r="U16" s="70" t="e">
        <f t="shared" si="8"/>
        <v>#DIV/0!</v>
      </c>
      <c r="V16" s="33"/>
    </row>
    <row r="17" spans="1:30" ht="15" thickBot="1" x14ac:dyDescent="0.35">
      <c r="A17" s="31"/>
      <c r="B17" s="52" t="s">
        <v>117</v>
      </c>
      <c r="C17" s="35">
        <f>COUNTIFS(Table1[Was the colonization/infection an HAI? (Y/N)], "Yes",Table1[Month],"Nov", Table1[MRSA Colonized], "X")</f>
        <v>0</v>
      </c>
      <c r="D17" s="35">
        <f>COUNTIFS(Table1[Was the colonization/infection an HAI? (Y/N)], "Yes",Table1[Month],"Nov", Table1[MRSA Infected], "X")</f>
        <v>0</v>
      </c>
      <c r="E17" s="35">
        <f>COUNTIFS(Table1[Was the colonization/infection an HAI? (Y/N)], "Yes",Table1[Month],"Nov", Table1[VRE BSIs], "X")</f>
        <v>0</v>
      </c>
      <c r="F17" s="35">
        <f>COUNTIFS(Table1[Was the colonization/infection an HAI? (Y/N)], "Yes",Table1[Month],"Nov", Table1[CPE Colonized], "X")</f>
        <v>0</v>
      </c>
      <c r="G17" s="71">
        <f>COUNTIFS(Table1[Was the colonization/infection an HAI? (Y/N)], "Yes",Table1[Month],"Nov", Table1[CPE Infected], "X")</f>
        <v>0</v>
      </c>
      <c r="H17" s="208">
        <f>COUNTIFS(Table1[Was the colonization/infection an HAI? (Y/N)], "Yes", Table1[Month],"Nov", Table1[ESBL Colonized], "X")</f>
        <v>0</v>
      </c>
      <c r="I17" s="208">
        <f>COUNTIFS(Table1[Was the colonization/infection an HAI? (Y/N)], "Yes",Table1[Month],"Nov", Table1[ESBL Infected], "X")</f>
        <v>0</v>
      </c>
      <c r="J17" s="52">
        <f t="shared" si="7"/>
        <v>0</v>
      </c>
      <c r="K17" s="32"/>
      <c r="L17" s="52" t="s">
        <v>117</v>
      </c>
      <c r="M17" s="34">
        <f>'Total Inf'!P15</f>
        <v>0</v>
      </c>
      <c r="N17" s="66" t="str">
        <f t="shared" si="0"/>
        <v>--</v>
      </c>
      <c r="O17" s="66" t="str">
        <f t="shared" si="1"/>
        <v>--</v>
      </c>
      <c r="P17" s="66" t="str">
        <f t="shared" si="2"/>
        <v>--</v>
      </c>
      <c r="Q17" s="66" t="str">
        <f t="shared" si="3"/>
        <v>--</v>
      </c>
      <c r="R17" s="66" t="str">
        <f t="shared" si="4"/>
        <v>--</v>
      </c>
      <c r="S17" s="209" t="str">
        <f t="shared" si="5"/>
        <v>--</v>
      </c>
      <c r="T17" s="209" t="str">
        <f t="shared" si="6"/>
        <v>--</v>
      </c>
      <c r="U17" s="70" t="e">
        <f t="shared" si="8"/>
        <v>#DIV/0!</v>
      </c>
      <c r="V17" s="33"/>
    </row>
    <row r="18" spans="1:30" ht="15" thickBot="1" x14ac:dyDescent="0.35">
      <c r="A18" s="31"/>
      <c r="B18" s="52" t="s">
        <v>118</v>
      </c>
      <c r="C18" s="35">
        <f>COUNTIFS(Table1[Was the colonization/infection an HAI? (Y/N)], "Yes",Table1[Month],"Dec", Table1[MRSA Colonized], "X")</f>
        <v>0</v>
      </c>
      <c r="D18" s="35">
        <f>COUNTIFS(Table1[Was the colonization/infection an HAI? (Y/N)], "Yes",Table1[Month],"Dec", Table1[MRSA Infected], "X")</f>
        <v>0</v>
      </c>
      <c r="E18" s="35">
        <f>COUNTIFS(Table1[Was the colonization/infection an HAI? (Y/N)], "Yes",Table1[Month],"Dec", Table1[VRE BSIs], "X")</f>
        <v>0</v>
      </c>
      <c r="F18" s="35">
        <f>COUNTIFS(Table1[Was the colonization/infection an HAI? (Y/N)], "Yes",Table1[Month],"Dec", Table1[CPE Colonized], "X")</f>
        <v>0</v>
      </c>
      <c r="G18" s="71">
        <f>COUNTIFS(Table1[Was the colonization/infection an HAI? (Y/N)], "Yes",Table1[Month],"Dec", Table1[CPE Infected], "X")</f>
        <v>0</v>
      </c>
      <c r="H18" s="208">
        <f>COUNTIFS(Table1[Was the colonization/infection an HAI? (Y/N)], "Yes", Table1[Month],"Dec", Table1[ESBL Colonized], "X")</f>
        <v>0</v>
      </c>
      <c r="I18" s="208">
        <f>COUNTIFS(Table1[Was the colonization/infection an HAI? (Y/N)], "Yes",Table1[Month],"Dec", Table1[ESBL Infected], "X")</f>
        <v>0</v>
      </c>
      <c r="J18" s="52">
        <f t="shared" si="7"/>
        <v>0</v>
      </c>
      <c r="K18" s="32"/>
      <c r="L18" s="52" t="s">
        <v>118</v>
      </c>
      <c r="M18" s="34">
        <f>'Total Inf'!P16</f>
        <v>0</v>
      </c>
      <c r="N18" s="66" t="str">
        <f t="shared" si="0"/>
        <v>--</v>
      </c>
      <c r="O18" s="66" t="str">
        <f t="shared" si="1"/>
        <v>--</v>
      </c>
      <c r="P18" s="66" t="str">
        <f t="shared" si="2"/>
        <v>--</v>
      </c>
      <c r="Q18" s="66" t="str">
        <f t="shared" si="3"/>
        <v>--</v>
      </c>
      <c r="R18" s="66" t="str">
        <f t="shared" si="4"/>
        <v>--</v>
      </c>
      <c r="S18" s="209" t="str">
        <f t="shared" si="5"/>
        <v>--</v>
      </c>
      <c r="T18" s="209" t="str">
        <f t="shared" si="6"/>
        <v>--</v>
      </c>
      <c r="U18" s="70" t="e">
        <f t="shared" si="8"/>
        <v>#DIV/0!</v>
      </c>
      <c r="V18" s="33"/>
    </row>
    <row r="19" spans="1:30" ht="15" thickBot="1" x14ac:dyDescent="0.35">
      <c r="A19" s="31"/>
      <c r="B19" s="54" t="s">
        <v>68</v>
      </c>
      <c r="C19" s="46">
        <f t="shared" ref="C19:J19" si="9">SUM(C7:C18)</f>
        <v>0</v>
      </c>
      <c r="D19" s="64">
        <f t="shared" si="9"/>
        <v>0</v>
      </c>
      <c r="E19" s="64">
        <f t="shared" si="9"/>
        <v>0</v>
      </c>
      <c r="F19" s="46">
        <f t="shared" si="9"/>
        <v>0</v>
      </c>
      <c r="G19" s="64">
        <f t="shared" si="9"/>
        <v>0</v>
      </c>
      <c r="H19" s="65">
        <f>SUM(H7:H18)</f>
        <v>0</v>
      </c>
      <c r="I19" s="65">
        <f>SUM(I7:I18)</f>
        <v>0</v>
      </c>
      <c r="J19" s="65">
        <f t="shared" si="9"/>
        <v>0</v>
      </c>
      <c r="K19" s="32"/>
      <c r="L19" s="53" t="s">
        <v>78</v>
      </c>
      <c r="M19" s="53"/>
      <c r="N19" s="67" t="e">
        <f t="shared" ref="N19:T19" si="10">AVERAGE(N7:N18)</f>
        <v>#DIV/0!</v>
      </c>
      <c r="O19" s="68" t="e">
        <f t="shared" si="10"/>
        <v>#DIV/0!</v>
      </c>
      <c r="P19" s="68" t="e">
        <f t="shared" si="10"/>
        <v>#DIV/0!</v>
      </c>
      <c r="Q19" s="67" t="e">
        <f t="shared" si="10"/>
        <v>#DIV/0!</v>
      </c>
      <c r="R19" s="68" t="e">
        <f t="shared" si="10"/>
        <v>#DIV/0!</v>
      </c>
      <c r="S19" s="210" t="e">
        <f t="shared" si="10"/>
        <v>#DIV/0!</v>
      </c>
      <c r="T19" s="210" t="e">
        <f t="shared" si="10"/>
        <v>#DIV/0!</v>
      </c>
      <c r="U19" s="69" t="str">
        <f>IF(ISNUMBER(AVERAGE(N19:R19)),AVERAGE(N19:R19),"--")</f>
        <v>--</v>
      </c>
      <c r="V19" s="33"/>
    </row>
    <row r="20" spans="1:30" x14ac:dyDescent="0.3">
      <c r="A20" s="31"/>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3"/>
    </row>
    <row r="21" spans="1:30" x14ac:dyDescent="0.3">
      <c r="A21" s="31"/>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3"/>
    </row>
    <row r="22" spans="1:30" x14ac:dyDescent="0.3">
      <c r="A22" s="3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3"/>
    </row>
    <row r="23" spans="1:30" x14ac:dyDescent="0.3">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3"/>
      <c r="AD23">
        <v>2</v>
      </c>
    </row>
    <row r="24" spans="1:30" x14ac:dyDescent="0.3">
      <c r="A24" s="3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3"/>
    </row>
    <row r="25" spans="1:30" x14ac:dyDescent="0.3">
      <c r="A25" s="3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3"/>
    </row>
    <row r="26" spans="1:30" x14ac:dyDescent="0.3">
      <c r="A26" s="31"/>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3"/>
    </row>
    <row r="27" spans="1:30" x14ac:dyDescent="0.3">
      <c r="A27" s="3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3"/>
    </row>
    <row r="28" spans="1:30" x14ac:dyDescent="0.3">
      <c r="A28" s="3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3"/>
    </row>
    <row r="29" spans="1:30" x14ac:dyDescent="0.3">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3"/>
    </row>
    <row r="30" spans="1:30" x14ac:dyDescent="0.3">
      <c r="A30" s="3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3"/>
    </row>
    <row r="31" spans="1:30" x14ac:dyDescent="0.3">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3"/>
    </row>
    <row r="32" spans="1:30" x14ac:dyDescent="0.3">
      <c r="A32" s="3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3"/>
    </row>
    <row r="33" spans="1:28" x14ac:dyDescent="0.3">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3"/>
    </row>
    <row r="34" spans="1:28" x14ac:dyDescent="0.3">
      <c r="A34" s="31"/>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3"/>
    </row>
    <row r="35" spans="1:28" x14ac:dyDescent="0.3">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3"/>
    </row>
    <row r="36" spans="1:28" x14ac:dyDescent="0.3">
      <c r="A36" s="3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3"/>
    </row>
    <row r="37" spans="1:28" x14ac:dyDescent="0.3">
      <c r="A37" s="3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3"/>
    </row>
    <row r="38" spans="1:28" x14ac:dyDescent="0.3">
      <c r="A38" s="3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3"/>
    </row>
    <row r="39" spans="1:28" x14ac:dyDescent="0.3">
      <c r="A39" s="3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3"/>
    </row>
    <row r="40" spans="1:28" ht="15" thickBot="1" x14ac:dyDescent="0.35">
      <c r="A40" s="31"/>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3"/>
    </row>
    <row r="41" spans="1:28" x14ac:dyDescent="0.3">
      <c r="A41" s="323"/>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5"/>
    </row>
    <row r="42" spans="1:28" ht="15" thickBot="1" x14ac:dyDescent="0.35">
      <c r="A42" s="326"/>
      <c r="B42" s="327"/>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8"/>
    </row>
    <row r="43" spans="1:28" ht="28.5" customHeight="1" thickBot="1" x14ac:dyDescent="0.35">
      <c r="A43" s="326"/>
      <c r="B43" s="32"/>
      <c r="C43" s="332" t="s">
        <v>305</v>
      </c>
      <c r="D43" s="333"/>
      <c r="E43" s="333"/>
      <c r="F43" s="333"/>
      <c r="G43" s="333"/>
      <c r="H43" s="333"/>
      <c r="I43" s="333"/>
      <c r="J43" s="334"/>
      <c r="K43" s="327"/>
      <c r="L43" s="327"/>
      <c r="M43" s="327"/>
      <c r="X43" s="327"/>
      <c r="Y43" s="328"/>
    </row>
    <row r="44" spans="1:28" ht="15" thickBot="1" x14ac:dyDescent="0.35">
      <c r="A44" s="326"/>
      <c r="B44" s="1"/>
      <c r="C44" s="312" t="s">
        <v>79</v>
      </c>
      <c r="D44" s="313"/>
      <c r="E44" s="198" t="s">
        <v>304</v>
      </c>
      <c r="F44" s="314" t="s">
        <v>82</v>
      </c>
      <c r="G44" s="314"/>
      <c r="H44" s="321" t="s">
        <v>81</v>
      </c>
      <c r="I44" s="322"/>
      <c r="J44" s="315" t="s">
        <v>67</v>
      </c>
      <c r="K44" s="327"/>
      <c r="L44" s="327"/>
      <c r="M44" s="327"/>
      <c r="X44" s="327"/>
      <c r="Y44" s="328"/>
    </row>
    <row r="45" spans="1:28" ht="15" thickBot="1" x14ac:dyDescent="0.35">
      <c r="A45" s="326"/>
      <c r="B45" s="52" t="s">
        <v>1</v>
      </c>
      <c r="C45" s="52" t="s">
        <v>87</v>
      </c>
      <c r="D45" s="52" t="s">
        <v>86</v>
      </c>
      <c r="E45" s="52" t="s">
        <v>86</v>
      </c>
      <c r="F45" s="52" t="s">
        <v>87</v>
      </c>
      <c r="G45" s="52" t="s">
        <v>86</v>
      </c>
      <c r="H45" s="52" t="s">
        <v>87</v>
      </c>
      <c r="I45" s="52" t="s">
        <v>86</v>
      </c>
      <c r="J45" s="316"/>
      <c r="K45" s="327"/>
      <c r="L45" s="327"/>
      <c r="M45" s="327"/>
      <c r="X45" s="327"/>
      <c r="Y45" s="328"/>
    </row>
    <row r="46" spans="1:28" ht="15" thickBot="1" x14ac:dyDescent="0.35">
      <c r="A46" s="326"/>
      <c r="B46" s="52" t="s">
        <v>115</v>
      </c>
      <c r="C46" s="35">
        <f>COUNTIFS(Table1[Month],"Jan", Table1[MRSA Colonized], "X")</f>
        <v>0</v>
      </c>
      <c r="D46" s="35">
        <f>COUNTIFS(Table1[Month],"Jan", Table1[MRSA Infected], "X")</f>
        <v>0</v>
      </c>
      <c r="E46" s="35">
        <f>COUNTIFS(Table1[Month],"Jan", Table1[VRE BSIs], "X")</f>
        <v>0</v>
      </c>
      <c r="F46" s="35">
        <f>COUNTIFS(Table1[Month],"Jan", Table1[CPE Colonized], "X")</f>
        <v>0</v>
      </c>
      <c r="G46" s="71">
        <f>COUNTIFS(Table1[Month],"Jan", Table1[CPE Infected], "X")</f>
        <v>0</v>
      </c>
      <c r="H46" s="208">
        <f>COUNTIFS(Table1[Month],"Jan", Table1[ESBL Colonized], "X")</f>
        <v>0</v>
      </c>
      <c r="I46" s="208">
        <f>COUNTIFS(Table1[Month],"Jan", Table1[ESBL Infected], "X")</f>
        <v>0</v>
      </c>
      <c r="J46" s="52">
        <f t="shared" ref="J46:J57" si="11">SUM(C46:I46)</f>
        <v>0</v>
      </c>
      <c r="K46" s="327"/>
      <c r="L46" s="327"/>
      <c r="M46" s="327"/>
      <c r="X46" s="327"/>
      <c r="Y46" s="328"/>
    </row>
    <row r="47" spans="1:28" ht="15" thickBot="1" x14ac:dyDescent="0.35">
      <c r="A47" s="326"/>
      <c r="B47" s="52" t="s">
        <v>110</v>
      </c>
      <c r="C47" s="35">
        <f>COUNTIFS(Table1[Month],"Feb", Table1[MRSA Colonized], "X")</f>
        <v>0</v>
      </c>
      <c r="D47" s="35">
        <f>COUNTIFS(Table1[Month],"Feb", Table1[MRSA Infected], "X")</f>
        <v>0</v>
      </c>
      <c r="E47" s="35">
        <f>COUNTIFS(Table1[Month],"Feb", Table1[VRE BSIs], "X")</f>
        <v>0</v>
      </c>
      <c r="F47" s="35">
        <f>COUNTIFS(Table1[Month],"Feb", Table1[CPE Colonized], "X")</f>
        <v>0</v>
      </c>
      <c r="G47" s="71">
        <f>COUNTIFS(Table1[Month],"Feb", Table1[CPE Infected], "X")</f>
        <v>0</v>
      </c>
      <c r="H47" s="208">
        <f>COUNTIFS(Table1[Month],"Feb", Table1[ESBL Colonized], "X")</f>
        <v>0</v>
      </c>
      <c r="I47" s="208">
        <f>COUNTIFS(Table1[Month],"Feb", Table1[ESBL Infected], "X")</f>
        <v>0</v>
      </c>
      <c r="J47" s="52">
        <f t="shared" si="11"/>
        <v>0</v>
      </c>
      <c r="K47" s="327"/>
      <c r="L47" s="327"/>
      <c r="M47" s="327"/>
      <c r="X47" s="327"/>
      <c r="Y47" s="328"/>
    </row>
    <row r="48" spans="1:28" ht="15" thickBot="1" x14ac:dyDescent="0.35">
      <c r="A48" s="326"/>
      <c r="B48" s="52" t="s">
        <v>111</v>
      </c>
      <c r="C48" s="35">
        <f>COUNTIFS(Table1[Month],"Mar", Table1[MRSA Colonized], "X")</f>
        <v>0</v>
      </c>
      <c r="D48" s="35">
        <f>COUNTIFS(Table1[Month],"Mar", Table1[MRSA Infected], "X")</f>
        <v>0</v>
      </c>
      <c r="E48" s="35">
        <f>COUNTIFS(Table1[Month],"Mar", Table1[VRE BSIs], "X")</f>
        <v>0</v>
      </c>
      <c r="F48" s="35">
        <f>COUNTIFS(Table1[Month],"Mar", Table1[CPE Colonized], "X")</f>
        <v>0</v>
      </c>
      <c r="G48" s="71">
        <f>COUNTIFS(Table1[Month],"Mar", Table1[CPE Infected], "X")</f>
        <v>0</v>
      </c>
      <c r="H48" s="208">
        <f>COUNTIFS(Table1[Month],"Mar", Table1[ESBL Colonized], "X")</f>
        <v>0</v>
      </c>
      <c r="I48" s="208">
        <f>COUNTIFS(Table1[Month],"Mar", Table1[ESBL Infected], "X")</f>
        <v>0</v>
      </c>
      <c r="J48" s="52">
        <f t="shared" si="11"/>
        <v>0</v>
      </c>
      <c r="K48" s="327"/>
      <c r="L48" s="327"/>
      <c r="M48" s="327"/>
      <c r="X48" s="327"/>
      <c r="Y48" s="328"/>
    </row>
    <row r="49" spans="1:28" ht="15" thickBot="1" x14ac:dyDescent="0.35">
      <c r="A49" s="326"/>
      <c r="B49" s="52" t="s">
        <v>146</v>
      </c>
      <c r="C49" s="35">
        <f>COUNTIFS(Table1[Month],"Apr", Table1[MRSA Colonized], "X")</f>
        <v>0</v>
      </c>
      <c r="D49" s="35">
        <f>COUNTIFS(Table1[Month],"Apr", Table1[MRSA Infected], "X")</f>
        <v>0</v>
      </c>
      <c r="E49" s="35">
        <f>COUNTIFS(Table1[Month],"Apr", Table1[VRE BSIs], "X")</f>
        <v>0</v>
      </c>
      <c r="F49" s="35">
        <f>COUNTIFS(Table1[Month],"Apr", Table1[CPE Colonized], "X")</f>
        <v>0</v>
      </c>
      <c r="G49" s="71">
        <f>COUNTIFS(Table1[Month],"Apr", Table1[CPE Infected], "X")</f>
        <v>0</v>
      </c>
      <c r="H49" s="208">
        <f>COUNTIFS(Table1[Month],"Apr", Table1[ESBL Colonized], "X")</f>
        <v>0</v>
      </c>
      <c r="I49" s="208">
        <f>COUNTIFS(Table1[Month],"Apr", Table1[ESBL Infected], "X")</f>
        <v>0</v>
      </c>
      <c r="J49" s="52">
        <f t="shared" si="11"/>
        <v>0</v>
      </c>
      <c r="K49" s="327"/>
      <c r="L49" s="327"/>
      <c r="M49" s="327"/>
      <c r="X49" s="327"/>
      <c r="Y49" s="328"/>
    </row>
    <row r="50" spans="1:28" ht="15" thickBot="1" x14ac:dyDescent="0.35">
      <c r="A50" s="326"/>
      <c r="B50" s="52" t="s">
        <v>35</v>
      </c>
      <c r="C50" s="35">
        <f>COUNTIFS(Table1[Month],"May", Table1[MRSA Colonized], "X")</f>
        <v>0</v>
      </c>
      <c r="D50" s="35">
        <f>COUNTIFS(Table1[Month],"May", Table1[MRSA Infected], "X")</f>
        <v>0</v>
      </c>
      <c r="E50" s="35">
        <f>COUNTIFS(Table1[Month],"May", Table1[VRE BSIs], "X")</f>
        <v>0</v>
      </c>
      <c r="F50" s="35">
        <f>COUNTIFS(Table1[Month],"May", Table1[CPE Colonized], "X")</f>
        <v>0</v>
      </c>
      <c r="G50" s="71">
        <f>COUNTIFS(Table1[Month],"May", Table1[CPE Infected], "X")</f>
        <v>0</v>
      </c>
      <c r="H50" s="208">
        <f>COUNTIFS(Table1[Month],"May", Table1[ESBL Colonized], "X")</f>
        <v>0</v>
      </c>
      <c r="I50" s="208">
        <f>COUNTIFS(Table1[Month],"May", Table1[ESBL Infected], "X")</f>
        <v>0</v>
      </c>
      <c r="J50" s="52">
        <f t="shared" si="11"/>
        <v>0</v>
      </c>
      <c r="K50" s="327"/>
      <c r="L50" s="327"/>
      <c r="M50" s="327"/>
      <c r="X50" s="327"/>
      <c r="Y50" s="328"/>
    </row>
    <row r="51" spans="1:28" ht="15" thickBot="1" x14ac:dyDescent="0.35">
      <c r="A51" s="326"/>
      <c r="B51" s="52" t="s">
        <v>112</v>
      </c>
      <c r="C51" s="35">
        <f>COUNTIFS(Table1[Month],"Jun", Table1[MRSA Colonized], "X")</f>
        <v>0</v>
      </c>
      <c r="D51" s="35">
        <f>COUNTIFS(Table1[Month],"Jun", Table1[MRSA Infected], "X")</f>
        <v>0</v>
      </c>
      <c r="E51" s="35">
        <f>COUNTIFS(Table1[Month],"Jun", Table1[VRE BSIs], "X")</f>
        <v>0</v>
      </c>
      <c r="F51" s="35">
        <f>COUNTIFS(Table1[Month],"Jun", Table1[CPE Colonized], "X")</f>
        <v>0</v>
      </c>
      <c r="G51" s="71">
        <f>COUNTIFS(Table1[Month],"Jun", Table1[CPE Infected], "X")</f>
        <v>0</v>
      </c>
      <c r="H51" s="208">
        <f>COUNTIFS(Table1[Month],"Jun", Table1[ESBL Colonized], "X")</f>
        <v>0</v>
      </c>
      <c r="I51" s="208">
        <f>COUNTIFS(Table1[Month],"Jun", Table1[ESBL Infected], "X")</f>
        <v>0</v>
      </c>
      <c r="J51" s="52">
        <f t="shared" si="11"/>
        <v>0</v>
      </c>
      <c r="K51" s="327"/>
      <c r="L51" s="327"/>
      <c r="M51" s="327"/>
      <c r="X51" s="327"/>
      <c r="Y51" s="328"/>
    </row>
    <row r="52" spans="1:28" ht="15" thickBot="1" x14ac:dyDescent="0.35">
      <c r="A52" s="326"/>
      <c r="B52" s="52" t="s">
        <v>144</v>
      </c>
      <c r="C52" s="35">
        <f>COUNTIFS(Table1[Month],"Jul", Table1[MRSA Colonized], "X")</f>
        <v>0</v>
      </c>
      <c r="D52" s="35">
        <f>COUNTIFS(Table1[Month],"Jul", Table1[MRSA Infected], "X")</f>
        <v>0</v>
      </c>
      <c r="E52" s="35">
        <f>COUNTIFS(Table1[Month],"Jul", Table1[VRE BSIs], "X")</f>
        <v>0</v>
      </c>
      <c r="F52" s="35">
        <f>COUNTIFS(Table1[Month],"Jul", Table1[CPE Colonized], "X")</f>
        <v>0</v>
      </c>
      <c r="G52" s="71">
        <f>COUNTIFS(Table1[Month],"Jul", Table1[CPE Infected], "X")</f>
        <v>0</v>
      </c>
      <c r="H52" s="208">
        <f>COUNTIFS(Table1[Month],"Jul", Table1[ESBL Colonized], "X")</f>
        <v>0</v>
      </c>
      <c r="I52" s="208">
        <f>COUNTIFS(Table1[Month],"Jul", Table1[ESBL Infected], "X")</f>
        <v>0</v>
      </c>
      <c r="J52" s="52">
        <f t="shared" si="11"/>
        <v>0</v>
      </c>
      <c r="K52" s="327"/>
      <c r="L52" s="327"/>
      <c r="M52" s="327"/>
      <c r="X52" s="327"/>
      <c r="Y52" s="328"/>
    </row>
    <row r="53" spans="1:28" ht="15" thickBot="1" x14ac:dyDescent="0.35">
      <c r="A53" s="326"/>
      <c r="B53" s="52" t="s">
        <v>113</v>
      </c>
      <c r="C53" s="35">
        <f>COUNTIFS(Table1[Month],"Aug", Table1[MRSA Colonized], "X")</f>
        <v>0</v>
      </c>
      <c r="D53" s="35">
        <f>COUNTIFS(Table1[Month],"Aug", Table1[MRSA Infected], "X")</f>
        <v>0</v>
      </c>
      <c r="E53" s="35">
        <f>COUNTIFS(Table1[Month],"Aug", Table1[VRE BSIs], "X")</f>
        <v>0</v>
      </c>
      <c r="F53" s="35">
        <f>COUNTIFS(Table1[Month],"Aug", Table1[CPE Colonized], "X")</f>
        <v>0</v>
      </c>
      <c r="G53" s="71">
        <f>COUNTIFS(Table1[Month],"Aug", Table1[CPE Infected], "X")</f>
        <v>0</v>
      </c>
      <c r="H53" s="208">
        <f>COUNTIFS(Table1[Month],"Aug", Table1[ESBL Colonized], "X")</f>
        <v>0</v>
      </c>
      <c r="I53" s="208">
        <f>COUNTIFS(Table1[Month],"Aug", Table1[ESBL Infected], "X")</f>
        <v>0</v>
      </c>
      <c r="J53" s="52">
        <f t="shared" si="11"/>
        <v>0</v>
      </c>
      <c r="K53" s="327"/>
      <c r="L53" s="327"/>
      <c r="M53" s="327"/>
      <c r="X53" s="327"/>
      <c r="Y53" s="328"/>
    </row>
    <row r="54" spans="1:28" ht="15" thickBot="1" x14ac:dyDescent="0.35">
      <c r="A54" s="326"/>
      <c r="B54" s="52" t="s">
        <v>145</v>
      </c>
      <c r="C54" s="35">
        <f>COUNTIFS(Table1[Month],"Sep", Table1[MRSA Colonized], "X")</f>
        <v>0</v>
      </c>
      <c r="D54" s="35">
        <f>COUNTIFS(Table1[Month],"Sep", Table1[MRSA Infected], "X")</f>
        <v>0</v>
      </c>
      <c r="E54" s="35">
        <f>COUNTIFS(Table1[Month],"Sep", Table1[VRE BSIs], "X")</f>
        <v>0</v>
      </c>
      <c r="F54" s="35">
        <f>COUNTIFS(Table1[Month],"Sep", Table1[CPE Colonized], "X")</f>
        <v>0</v>
      </c>
      <c r="G54" s="71">
        <f>COUNTIFS(Table1[Month],"Sep", Table1[CPE Infected], "X")</f>
        <v>0</v>
      </c>
      <c r="H54" s="208">
        <f>COUNTIFS(Table1[Month],"Sep", Table1[ESBL Colonized], "X")</f>
        <v>0</v>
      </c>
      <c r="I54" s="208">
        <f>COUNTIFS(Table1[Month],"Sep", Table1[ESBL Infected], "X")</f>
        <v>0</v>
      </c>
      <c r="J54" s="52">
        <f t="shared" si="11"/>
        <v>0</v>
      </c>
      <c r="K54" s="327"/>
      <c r="L54" s="327"/>
      <c r="M54" s="327"/>
      <c r="X54" s="327"/>
      <c r="Y54" s="328"/>
    </row>
    <row r="55" spans="1:28" ht="15" thickBot="1" x14ac:dyDescent="0.35">
      <c r="A55" s="326"/>
      <c r="B55" s="52" t="s">
        <v>116</v>
      </c>
      <c r="C55" s="35">
        <f>COUNTIFS(Table1[Month],"Oct", Table1[MRSA Colonized], "X")</f>
        <v>0</v>
      </c>
      <c r="D55" s="35">
        <f>COUNTIFS(Table1[Month],"Oct", Table1[MRSA Infected], "X")</f>
        <v>0</v>
      </c>
      <c r="E55" s="35">
        <f>COUNTIFS(Table1[Month],"Oct", Table1[VRE BSIs], "X")</f>
        <v>0</v>
      </c>
      <c r="F55" s="35">
        <f>COUNTIFS(Table1[Month],"Oct", Table1[CPE Colonized], "X")</f>
        <v>0</v>
      </c>
      <c r="G55" s="71">
        <f>COUNTIFS(Table1[Month],"Oct", Table1[CPE Infected], "X")</f>
        <v>0</v>
      </c>
      <c r="H55" s="208">
        <f>COUNTIFS(Table1[Month],"Oct", Table1[ESBL Colonized], "X")</f>
        <v>0</v>
      </c>
      <c r="I55" s="208">
        <f>COUNTIFS(Table1[Month],"Oct", Table1[ESBL Infected], "X")</f>
        <v>0</v>
      </c>
      <c r="J55" s="52">
        <f t="shared" si="11"/>
        <v>0</v>
      </c>
      <c r="K55" s="327"/>
      <c r="L55" s="327"/>
      <c r="M55" s="327"/>
      <c r="X55" s="327"/>
      <c r="Y55" s="328"/>
    </row>
    <row r="56" spans="1:28" ht="15" thickBot="1" x14ac:dyDescent="0.35">
      <c r="A56" s="326"/>
      <c r="B56" s="52" t="s">
        <v>117</v>
      </c>
      <c r="C56" s="35">
        <f>COUNTIFS(Table1[Month],"Nov", Table1[MRSA Colonized], "X")</f>
        <v>0</v>
      </c>
      <c r="D56" s="35">
        <f>COUNTIFS(Table1[Month],"Nov", Table1[MRSA Infected], "X")</f>
        <v>0</v>
      </c>
      <c r="E56" s="35">
        <f>COUNTIFS(Table1[Month],"Nov", Table1[VRE BSIs], "X")</f>
        <v>0</v>
      </c>
      <c r="F56" s="35">
        <f>COUNTIFS(Table1[Month],"Nov", Table1[CPE Colonized], "X")</f>
        <v>0</v>
      </c>
      <c r="G56" s="71">
        <f>COUNTIFS(Table1[Month],"Nov", Table1[CPE Infected], "X")</f>
        <v>0</v>
      </c>
      <c r="H56" s="208">
        <f>COUNTIFS(Table1[Month],"Nov", Table1[ESBL Colonized], "X")</f>
        <v>0</v>
      </c>
      <c r="I56" s="208">
        <f>COUNTIFS(Table1[Month],"Nov", Table1[ESBL Infected], "X")</f>
        <v>0</v>
      </c>
      <c r="J56" s="52">
        <f t="shared" si="11"/>
        <v>0</v>
      </c>
      <c r="K56" s="327"/>
      <c r="L56" s="327"/>
      <c r="M56" s="327"/>
      <c r="X56" s="327"/>
      <c r="Y56" s="328"/>
    </row>
    <row r="57" spans="1:28" ht="15" thickBot="1" x14ac:dyDescent="0.35">
      <c r="A57" s="326"/>
      <c r="B57" s="52" t="s">
        <v>118</v>
      </c>
      <c r="C57" s="35">
        <f>COUNTIFS(Table1[Month],"Dec", Table1[MRSA Colonized], "X")</f>
        <v>0</v>
      </c>
      <c r="D57" s="35">
        <f>COUNTIFS(Table1[Month],"Dec", Table1[MRSA Infected], "X")</f>
        <v>0</v>
      </c>
      <c r="E57" s="35">
        <f>COUNTIFS(Table1[Month],"Dec", Table1[VRE BSIs], "X")</f>
        <v>0</v>
      </c>
      <c r="F57" s="35">
        <f>COUNTIFS(Table1[Month],"Dec", Table1[CPE Colonized], "X")</f>
        <v>0</v>
      </c>
      <c r="G57" s="71">
        <f>COUNTIFS(Table1[Month],"Dec", Table1[CPE Infected], "X")</f>
        <v>0</v>
      </c>
      <c r="H57" s="208">
        <f>COUNTIFS(Table1[Month],"Dec", Table1[ESBL Colonized], "X")</f>
        <v>0</v>
      </c>
      <c r="I57" s="208">
        <f>COUNTIFS(Table1[Month],"Dec", Table1[ESBL Infected], "X")</f>
        <v>0</v>
      </c>
      <c r="J57" s="52">
        <f t="shared" si="11"/>
        <v>0</v>
      </c>
      <c r="K57" s="327"/>
      <c r="L57" s="327"/>
      <c r="M57" s="327"/>
      <c r="X57" s="327"/>
      <c r="Y57" s="328"/>
    </row>
    <row r="58" spans="1:28" ht="15" thickBot="1" x14ac:dyDescent="0.35">
      <c r="A58" s="326"/>
      <c r="B58" s="53" t="s">
        <v>68</v>
      </c>
      <c r="C58" s="46">
        <f t="shared" ref="C58:G58" si="12">SUM(C46:C57)</f>
        <v>0</v>
      </c>
      <c r="D58" s="64">
        <f t="shared" si="12"/>
        <v>0</v>
      </c>
      <c r="E58" s="64">
        <f t="shared" si="12"/>
        <v>0</v>
      </c>
      <c r="F58" s="46">
        <f t="shared" si="12"/>
        <v>0</v>
      </c>
      <c r="G58" s="64">
        <f t="shared" si="12"/>
        <v>0</v>
      </c>
      <c r="H58" s="65">
        <f>SUM(H46:H57)</f>
        <v>0</v>
      </c>
      <c r="I58" s="65">
        <f>SUM(I46:I57)</f>
        <v>0</v>
      </c>
      <c r="J58" s="52">
        <f>SUM(J46:J57)</f>
        <v>0</v>
      </c>
      <c r="K58" s="327"/>
      <c r="L58" s="327"/>
      <c r="M58" s="327"/>
      <c r="X58" s="327"/>
      <c r="Y58" s="328"/>
    </row>
    <row r="59" spans="1:28" x14ac:dyDescent="0.3">
      <c r="A59" s="326"/>
      <c r="B59" s="327"/>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8"/>
    </row>
    <row r="60" spans="1:28" x14ac:dyDescent="0.3">
      <c r="A60" s="326"/>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8"/>
    </row>
    <row r="61" spans="1:28" x14ac:dyDescent="0.3">
      <c r="A61" s="326"/>
      <c r="B61" s="327"/>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8"/>
    </row>
    <row r="62" spans="1:28" x14ac:dyDescent="0.3">
      <c r="A62" s="326"/>
      <c r="B62" s="327"/>
      <c r="C62" s="327"/>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8"/>
    </row>
    <row r="63" spans="1:28" ht="15" thickBot="1" x14ac:dyDescent="0.35">
      <c r="A63" s="329"/>
      <c r="B63" s="330"/>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1"/>
    </row>
  </sheetData>
  <mergeCells count="21">
    <mergeCell ref="J44:J45"/>
    <mergeCell ref="Q5:R5"/>
    <mergeCell ref="A41:AB42"/>
    <mergeCell ref="A43:A63"/>
    <mergeCell ref="B59:AB63"/>
    <mergeCell ref="K43:M58"/>
    <mergeCell ref="X43:Y58"/>
    <mergeCell ref="C44:D44"/>
    <mergeCell ref="F44:G44"/>
    <mergeCell ref="C43:J43"/>
    <mergeCell ref="H44:I44"/>
    <mergeCell ref="A1:AB2"/>
    <mergeCell ref="C5:D5"/>
    <mergeCell ref="F5:G5"/>
    <mergeCell ref="J5:J6"/>
    <mergeCell ref="U5:U6"/>
    <mergeCell ref="N5:O5"/>
    <mergeCell ref="N4:U4"/>
    <mergeCell ref="C4:J4"/>
    <mergeCell ref="H5:I5"/>
    <mergeCell ref="S5:T5"/>
  </mergeCells>
  <pageMargins left="0.7" right="0.7" top="0.75" bottom="0.75" header="0.3" footer="0.3"/>
  <pageSetup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
  <sheetViews>
    <sheetView workbookViewId="0">
      <selection activeCell="T4" sqref="T4"/>
    </sheetView>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Materials" ma:contentTypeID="0x0101004E4661B8D3EE19448967A656FFF5C55E006FF5B1650173814A88488A3B95A9AE33" ma:contentTypeVersion="37" ma:contentTypeDescription="" ma:contentTypeScope="" ma:versionID="b850b84797d4776a102c46f406b5f4b7">
  <xsd:schema xmlns:xsd="http://www.w3.org/2001/XMLSchema" xmlns:xs="http://www.w3.org/2001/XMLSchema" xmlns:p="http://schemas.microsoft.com/office/2006/metadata/properties" xmlns:ns2="ddd86614-e075-45fd-ad75-7be4b83b486d" targetNamespace="http://schemas.microsoft.com/office/2006/metadata/properties" ma:root="true" ma:fieldsID="51a07680908756436846d2f709094da8" ns2:_="">
    <xsd:import namespace="ddd86614-e075-45fd-ad75-7be4b83b486d"/>
    <xsd:element name="properties">
      <xsd:complexType>
        <xsd:sequence>
          <xsd:element name="documentManagement">
            <xsd:complexType>
              <xsd:all>
                <xsd:element ref="ns2:Transitory" minOccurs="0"/>
                <xsd:element ref="ns2:TaxCatchAll" minOccurs="0"/>
                <xsd:element ref="ns2:TaxCatchAllLabel" minOccurs="0"/>
                <xsd:element ref="ns2:ProjectDocTypeTaxHTField0" minOccurs="0"/>
                <xsd:element ref="ns2:ProjectStartDate" minOccurs="0"/>
                <xsd:element ref="ns2:Project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d86614-e075-45fd-ad75-7be4b83b486d" elementFormDefault="qualified">
    <xsd:import namespace="http://schemas.microsoft.com/office/2006/documentManagement/types"/>
    <xsd:import namespace="http://schemas.microsoft.com/office/infopath/2007/PartnerControls"/>
    <xsd:element name="Transitory" ma:index="3" nillable="true" ma:displayName="Transitory?" ma:description="Select &quot;Yes&quot; if the official record is stored elsewhere and this copy is being stored here for convenience." ma:format="RadioButtons" ma:internalName="Transitory">
      <xsd:simpleType>
        <xsd:restriction base="dms:Choice">
          <xsd:enumeration value="Yes"/>
          <xsd:enumeration value="No"/>
          <xsd:enumeration value="Not Sure"/>
        </xsd:restriction>
      </xsd:simpleType>
    </xsd:element>
    <xsd:element name="TaxCatchAll" ma:index="5" nillable="true" ma:displayName="Taxonomy Catch All Column" ma:description="" ma:hidden="true" ma:list="{f78954d5-acc0-4ffb-98ec-a1572a064751}" ma:internalName="TaxCatchAll" ma:showField="CatchAllData" ma:web="ddd86614-e075-45fd-ad75-7be4b83b486d">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description="" ma:hidden="true" ma:list="{f78954d5-acc0-4ffb-98ec-a1572a064751}" ma:internalName="TaxCatchAllLabel" ma:readOnly="true" ma:showField="CatchAllDataLabel" ma:web="ddd86614-e075-45fd-ad75-7be4b83b486d">
      <xsd:complexType>
        <xsd:complexContent>
          <xsd:extension base="dms:MultiChoiceLookup">
            <xsd:sequence>
              <xsd:element name="Value" type="dms:Lookup" maxOccurs="unbounded" minOccurs="0" nillable="true"/>
            </xsd:sequence>
          </xsd:extension>
        </xsd:complexContent>
      </xsd:complexType>
    </xsd:element>
    <xsd:element name="ProjectDocTypeTaxHTField0" ma:index="10" nillable="true" ma:taxonomy="true" ma:internalName="ProjectDocTypeTaxHTField0" ma:taxonomyFieldName="ProjectDocType" ma:displayName="Project Document Type" ma:default="" ma:fieldId="{6d220060-7d78-4d9a-a258-94c0c190abc3}" ma:sspId="49902157-4f79-49bc-a821-2837ff72634b" ma:termSetId="a0f1574d-0406-4c69-95a3-404f7edd9a95" ma:anchorId="00000000-0000-0000-0000-000000000000" ma:open="false" ma:isKeyword="false">
      <xsd:complexType>
        <xsd:sequence>
          <xsd:element ref="pc:Terms" minOccurs="0" maxOccurs="1"/>
        </xsd:sequence>
      </xsd:complexType>
    </xsd:element>
    <xsd:element name="ProjectStartDate" ma:index="13" nillable="true" ma:displayName="Project Start Date" ma:format="DateOnly" ma:internalName="ProjectStartDate" ma:readOnly="false">
      <xsd:simpleType>
        <xsd:restriction base="dms:DateTime"/>
      </xsd:simpleType>
    </xsd:element>
    <xsd:element name="ProjectEndDate" ma:index="14" nillable="true" ma:displayName="Project End Date" ma:format="DateOnly" ma:internalName="Project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jectEndDate xmlns="ddd86614-e075-45fd-ad75-7be4b83b486d" xsi:nil="true"/>
    <Transitory xmlns="ddd86614-e075-45fd-ad75-7be4b83b486d" xsi:nil="true"/>
    <TaxCatchAll xmlns="ddd86614-e075-45fd-ad75-7be4b83b486d">
      <Value>7539</Value>
    </TaxCatchAll>
    <ProjectDocTypeTaxHTField0 xmlns="ddd86614-e075-45fd-ad75-7be4b83b486d">
      <Terms xmlns="http://schemas.microsoft.com/office/infopath/2007/PartnerControls">
        <TermInfo xmlns="http://schemas.microsoft.com/office/infopath/2007/PartnerControls">
          <TermName xmlns="http://schemas.microsoft.com/office/infopath/2007/PartnerControls">Project Close-Out</TermName>
          <TermId xmlns="http://schemas.microsoft.com/office/infopath/2007/PartnerControls">57806dcc-825d-4f85-a922-4dc44e65fcc6</TermId>
        </TermInfo>
      </Terms>
    </ProjectDocTypeTaxHTField0>
    <ProjectStartDate xmlns="ddd86614-e075-45fd-ad75-7be4b83b486d">2019-05-01T04:00:00+00:00</ProjectStart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B980A9-8914-4BD9-9F3F-E5878573A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d86614-e075-45fd-ad75-7be4b83b4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61B015-AF27-44A0-BCC7-BBFA076E4F89}">
  <ds:schemaRefs>
    <ds:schemaRef ds:uri="http://purl.org/dc/terms/"/>
    <ds:schemaRef ds:uri="http://schemas.microsoft.com/office/2006/documentManagement/types"/>
    <ds:schemaRef ds:uri="http://purl.org/dc/dcmitype/"/>
    <ds:schemaRef ds:uri="ddd86614-e075-45fd-ad75-7be4b83b486d"/>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64C0A7F-CDD8-48DF-805B-2C9755A9D4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Information</vt:lpstr>
      <vt:lpstr>Glossary</vt:lpstr>
      <vt:lpstr>Inf instructions</vt:lpstr>
      <vt:lpstr>Infections</vt:lpstr>
      <vt:lpstr>Total Inf</vt:lpstr>
      <vt:lpstr>ARO instructions</vt:lpstr>
      <vt:lpstr>ARO</vt:lpstr>
      <vt:lpstr>Total AROs</vt:lpstr>
      <vt:lpstr>Staff Surveillance Instructions</vt:lpstr>
      <vt:lpstr>Staff Infections</vt:lpstr>
      <vt:lpstr>Total Staff</vt:lpstr>
      <vt:lpstr>Updates</vt:lpstr>
      <vt:lpstr>AROs Master Sheet</vt:lpstr>
      <vt:lpstr>Sheet39</vt:lpstr>
      <vt:lpstr>Master Data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FINAL_Surveillance_Reporting_Form_LOCKED</dc:title>
  <dc:creator>Katherine Paphitis</dc:creator>
  <cp:lastModifiedBy>Jennifer Happe</cp:lastModifiedBy>
  <cp:lastPrinted>2019-08-06T19:13:16Z</cp:lastPrinted>
  <dcterms:created xsi:type="dcterms:W3CDTF">2017-11-14T17:47:08Z</dcterms:created>
  <dcterms:modified xsi:type="dcterms:W3CDTF">2023-09-14T20:04:52Z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0x0101004E4661B8D3EE19448967A656FFF5C55E006FF5B1650173814A88488A3B95A9AE33</vt:lpwstr>
  </property>
  <property fmtid="{D5CDD505-2E9C-101B-9397-08002B2CF9AE}" pid="3" name="_dlc_DocIdItemGuid">
    <vt:lpwstr>9951c09a-8403-42ae-8f74-61cdb4a043c6</vt:lpwstr>
  </property>
  <property fmtid="{D5CDD505-2E9C-101B-9397-08002B2CF9AE}" pid="4" name="_dlc_DocId">
    <vt:lpwstr>E7YEJEDTSY7N-2900-556</vt:lpwstr>
  </property>
  <property fmtid="{D5CDD505-2E9C-101B-9397-08002B2CF9AE}" pid="5" name="_dlc_DocIdUrl">
    <vt:lpwstr>https://goto.oahpp.ca/areas/ipac/IPAC-CW/_layouts/DocIdRedir.aspx?ID=E7YEJEDTSY7N-2900-556, E7YEJEDTSY7N-2900-556</vt:lpwstr>
  </property>
  <property fmtid="{D5CDD505-2E9C-101B-9397-08002B2CF9AE}" pid="6" name="ProjectDocType">
    <vt:lpwstr>7539;#Project Close-Out|57806dcc-825d-4f85-a922-4dc44e65fcc6</vt:lpwstr>
  </property>
</Properties>
</file>